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omments3.xml" ContentType="application/vnd.openxmlformats-officedocument.spreadsheetml.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ables/table1.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queryTables/queryTable1.xml" ContentType="application/vnd.openxmlformats-officedocument.spreadsheetml.queryTable+xml"/>
  <Override PartName="/xl/drawings/drawing5.xml" ContentType="application/vnd.openxmlformats-officedocument.drawing+xml"/>
  <Override PartName="/xl/comments6.xml" ContentType="application/vnd.openxmlformats-officedocument.spreadsheetml.comments+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6.xml" ContentType="application/vnd.openxmlformats-officedocument.drawing+xml"/>
  <Override PartName="/xl/comments7.xml" ContentType="application/vnd.openxmlformats-officedocument.spreadsheetml.comments+xml"/>
  <Override PartName="/xl/charts/chart14.xml" ContentType="application/vnd.openxmlformats-officedocument.drawingml.chart+xml"/>
  <Override PartName="/xl/drawings/drawing7.xml" ContentType="application/vnd.openxmlformats-officedocument.drawing+xml"/>
  <Override PartName="/xl/comments8.xml" ContentType="application/vnd.openxmlformats-officedocument.spreadsheetml.comments+xml"/>
  <Override PartName="/xl/charts/chart1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F:\Promotion\H_Digitaler_Anhang\02_Praediktives_Tool\"/>
    </mc:Choice>
  </mc:AlternateContent>
  <xr:revisionPtr revIDLastSave="0" documentId="8_{1D30EEBA-26DB-4B72-B999-1C11EFC39C8F}" xr6:coauthVersionLast="47" xr6:coauthVersionMax="47" xr10:uidLastSave="{00000000-0000-0000-0000-000000000000}"/>
  <bookViews>
    <workbookView xWindow="-120" yWindow="-120" windowWidth="38640" windowHeight="21120" tabRatio="621" xr2:uid="{00000000-000D-0000-FFFF-FFFF00000000}"/>
  </bookViews>
  <sheets>
    <sheet name="Info" sheetId="25" r:id="rId1"/>
    <sheet name="Eingabe" sheetId="1" r:id="rId2"/>
    <sheet name="Ausgabe Standortbewertung" sheetId="21" r:id="rId3"/>
    <sheet name="Ausgabe Wärmeübertragerdesign" sheetId="24" r:id="rId4"/>
    <sheet name="Wichtungsberechnung" sheetId="19" r:id="rId5"/>
    <sheet name="Beispielskript Modellierung" sheetId="20" r:id="rId6"/>
    <sheet name="Punkteberechnung" sheetId="4" state="hidden" r:id="rId7"/>
    <sheet name="Berechnung-WÜ-Material" sheetId="22" state="hidden" r:id="rId8"/>
    <sheet name="Daten-Materialien" sheetId="23" state="hidden" r:id="rId9"/>
    <sheet name="Waermeuebertrager" sheetId="17" state="hidden" r:id="rId10"/>
    <sheet name="Löslichkeitstabelle-Wasser-I" sheetId="16" state="hidden" r:id="rId11"/>
    <sheet name="Zwischenrechnungen" sheetId="15" state="hidden" r:id="rId12"/>
    <sheet name="Wärmeübertrager" sheetId="18" state="hidden" r:id="rId13"/>
    <sheet name="Stoffwerte" sheetId="7" state="hidden" r:id="rId14"/>
    <sheet name="Strömung-Temp-Fouling" sheetId="9" state="hidden" r:id="rId15"/>
    <sheet name="Bakterien" sheetId="10" state="hidden" r:id="rId16"/>
    <sheet name="Fauna" sheetId="11" state="hidden" r:id="rId17"/>
  </sheets>
  <definedNames>
    <definedName name="ExterneDaten_1" localSheetId="10" hidden="1">'Löslichkeitstabelle-Wasser-I'!$A$6:$AO$86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
    </ext>
  </extLst>
</workbook>
</file>

<file path=xl/calcChain.xml><?xml version="1.0" encoding="utf-8"?>
<calcChain xmlns="http://schemas.openxmlformats.org/spreadsheetml/2006/main">
  <c r="K76" i="25" l="1"/>
  <c r="J34" i="1" l="1"/>
  <c r="N68" i="21"/>
  <c r="M68" i="21"/>
  <c r="L68" i="21"/>
  <c r="E7" i="1"/>
  <c r="B95" i="21"/>
  <c r="Y53" i="21"/>
  <c r="Z53" i="21" s="1"/>
  <c r="Y58" i="21" s="1"/>
  <c r="Z56" i="21"/>
  <c r="Y56" i="21"/>
  <c r="Y57" i="21" s="1"/>
  <c r="Z57" i="21" l="1"/>
  <c r="AB59" i="21"/>
  <c r="Y59" i="21"/>
  <c r="AL31" i="22"/>
  <c r="E133" i="23" l="1"/>
  <c r="E130" i="23"/>
  <c r="AQ100" i="22" l="1"/>
  <c r="AQ102" i="22" s="1"/>
  <c r="AQ103" i="22" s="1"/>
  <c r="AQ98" i="22"/>
  <c r="AQ99" i="22"/>
  <c r="AQ97" i="22"/>
  <c r="AQ52" i="22"/>
  <c r="AP52" i="22"/>
  <c r="AP55" i="22" s="1"/>
  <c r="AQ55" i="22" s="1"/>
  <c r="AQ51" i="22"/>
  <c r="AP51" i="22"/>
  <c r="AQ50" i="22"/>
  <c r="AP50" i="22"/>
  <c r="BE91" i="22"/>
  <c r="BD91" i="22"/>
  <c r="BE90" i="22"/>
  <c r="BD90" i="22"/>
  <c r="BD93" i="22" s="1"/>
  <c r="BE93" i="22" s="1"/>
  <c r="BE89" i="22"/>
  <c r="BD89" i="22"/>
  <c r="AX91" i="22"/>
  <c r="AW91" i="22"/>
  <c r="AW94" i="22" s="1"/>
  <c r="AX94" i="22" s="1"/>
  <c r="AS99" i="22" s="1"/>
  <c r="AX90" i="22"/>
  <c r="AW90" i="22"/>
  <c r="AX89" i="22"/>
  <c r="AW89" i="22"/>
  <c r="BE52" i="22"/>
  <c r="BD52" i="22"/>
  <c r="BE51" i="22"/>
  <c r="BD51" i="22"/>
  <c r="BE50" i="22"/>
  <c r="BD50" i="22"/>
  <c r="AX52" i="22"/>
  <c r="AW52" i="22"/>
  <c r="AX51" i="22"/>
  <c r="AW51" i="22"/>
  <c r="AX50" i="22"/>
  <c r="AW50" i="22"/>
  <c r="AW53" i="22" s="1"/>
  <c r="AX53" i="22" s="1"/>
  <c r="BE20" i="22"/>
  <c r="BD20" i="22"/>
  <c r="BE19" i="22"/>
  <c r="BD19" i="22"/>
  <c r="BD22" i="22" s="1"/>
  <c r="BE22" i="22" s="1"/>
  <c r="BE18" i="22"/>
  <c r="BD18" i="22"/>
  <c r="BD21" i="22" s="1"/>
  <c r="BE21" i="22" s="1"/>
  <c r="AX20" i="22"/>
  <c r="AW20" i="22"/>
  <c r="AW23" i="22" s="1"/>
  <c r="AX23" i="22" s="1"/>
  <c r="AX19" i="22"/>
  <c r="AW19" i="22"/>
  <c r="AW22" i="22" s="1"/>
  <c r="AX22" i="22" s="1"/>
  <c r="AX18" i="22"/>
  <c r="AW18" i="22"/>
  <c r="AQ91" i="22"/>
  <c r="AP91" i="22"/>
  <c r="AQ90" i="22"/>
  <c r="AP90" i="22"/>
  <c r="AQ89" i="22"/>
  <c r="AP89" i="22"/>
  <c r="AP19" i="22"/>
  <c r="AQ19" i="22"/>
  <c r="AP20" i="22"/>
  <c r="AQ20" i="22"/>
  <c r="AQ18" i="22"/>
  <c r="AP18" i="22"/>
  <c r="AV99" i="22" l="1"/>
  <c r="BD53" i="22"/>
  <c r="BE53" i="22" s="1"/>
  <c r="AW93" i="22"/>
  <c r="AX93" i="22" s="1"/>
  <c r="BB25" i="22"/>
  <c r="BD25" i="22"/>
  <c r="BD92" i="22"/>
  <c r="BE92" i="22" s="1"/>
  <c r="AV27" i="22"/>
  <c r="AW27" i="22"/>
  <c r="AU99" i="22"/>
  <c r="AP54" i="22"/>
  <c r="AQ54" i="22" s="1"/>
  <c r="BC25" i="22"/>
  <c r="AX99" i="22"/>
  <c r="BA98" i="22"/>
  <c r="BB26" i="22"/>
  <c r="AW58" i="22"/>
  <c r="AP94" i="22"/>
  <c r="AQ94" i="22" s="1"/>
  <c r="AL99" i="22" s="1"/>
  <c r="BD23" i="22"/>
  <c r="BE23" i="22" s="1"/>
  <c r="AW55" i="22"/>
  <c r="AX55" i="22" s="1"/>
  <c r="AT60" i="22" s="1"/>
  <c r="AW21" i="22"/>
  <c r="AU27" i="22"/>
  <c r="BA26" i="22"/>
  <c r="AV58" i="22"/>
  <c r="AX58" i="22"/>
  <c r="BD94" i="22"/>
  <c r="AZ98" i="22"/>
  <c r="BC26" i="22"/>
  <c r="AW92" i="22"/>
  <c r="BB98" i="22"/>
  <c r="BD26" i="22"/>
  <c r="AZ58" i="22"/>
  <c r="BC98" i="22"/>
  <c r="AX27" i="22"/>
  <c r="BA58" i="22"/>
  <c r="AP92" i="22"/>
  <c r="AS26" i="22"/>
  <c r="AX26" i="22"/>
  <c r="BD54" i="22"/>
  <c r="BB58" i="22"/>
  <c r="AW99" i="22"/>
  <c r="AT26" i="22"/>
  <c r="AZ25" i="22"/>
  <c r="BC58" i="22"/>
  <c r="AS98" i="22"/>
  <c r="AX98" i="22"/>
  <c r="AP93" i="22"/>
  <c r="AU26" i="22"/>
  <c r="BA25" i="22"/>
  <c r="BD55" i="22"/>
  <c r="BD58" i="22"/>
  <c r="AT98" i="22"/>
  <c r="AW98" i="22"/>
  <c r="AV26" i="22"/>
  <c r="BE58" i="22"/>
  <c r="AU98" i="22"/>
  <c r="AZ97" i="22"/>
  <c r="AW26" i="22"/>
  <c r="AS58" i="22"/>
  <c r="AV98" i="22"/>
  <c r="AT58" i="22"/>
  <c r="AO99" i="22"/>
  <c r="AS27" i="22"/>
  <c r="AV60" i="22"/>
  <c r="AP21" i="22"/>
  <c r="AT27" i="22"/>
  <c r="AZ26" i="22"/>
  <c r="AW54" i="22"/>
  <c r="AU58" i="22"/>
  <c r="AT99" i="22"/>
  <c r="AP53" i="22"/>
  <c r="AQ53" i="22" s="1"/>
  <c r="AP23" i="22"/>
  <c r="AQ23" i="22" s="1"/>
  <c r="AP22" i="22"/>
  <c r="BB97" i="22" l="1"/>
  <c r="AZ27" i="22"/>
  <c r="BC97" i="22"/>
  <c r="BA97" i="22"/>
  <c r="BC27" i="22"/>
  <c r="AL27" i="22"/>
  <c r="AM27" i="22"/>
  <c r="AN27" i="22"/>
  <c r="BA27" i="22"/>
  <c r="AN99" i="22"/>
  <c r="BD27" i="22"/>
  <c r="AM99" i="22"/>
  <c r="AW60" i="22"/>
  <c r="BB27" i="22"/>
  <c r="AX60" i="22"/>
  <c r="AU60" i="22"/>
  <c r="AS60" i="22"/>
  <c r="BE55" i="22"/>
  <c r="BE60" i="22" s="1"/>
  <c r="BD60" i="22"/>
  <c r="BC60" i="22"/>
  <c r="BB60" i="22"/>
  <c r="BA60" i="22"/>
  <c r="AZ60" i="22"/>
  <c r="AX92" i="22"/>
  <c r="AW97" i="22" s="1"/>
  <c r="AQ93" i="22"/>
  <c r="AL98" i="22" s="1"/>
  <c r="AQ21" i="22"/>
  <c r="AP25" i="22" s="1"/>
  <c r="AQ22" i="22"/>
  <c r="AL26" i="22" s="1"/>
  <c r="AO27" i="22"/>
  <c r="BE94" i="22"/>
  <c r="BC99" i="22" s="1"/>
  <c r="BB99" i="22"/>
  <c r="BA99" i="22"/>
  <c r="AZ99" i="22"/>
  <c r="AQ92" i="22"/>
  <c r="AO97" i="22" s="1"/>
  <c r="AN97" i="22"/>
  <c r="BE54" i="22"/>
  <c r="BD59" i="22" s="1"/>
  <c r="AQ27" i="22"/>
  <c r="AX54" i="22"/>
  <c r="AS59" i="22" s="1"/>
  <c r="AU59" i="22"/>
  <c r="AW59" i="22"/>
  <c r="AV59" i="22"/>
  <c r="AT59" i="22"/>
  <c r="AX59" i="22"/>
  <c r="AX21" i="22"/>
  <c r="AT25" i="22" s="1"/>
  <c r="AT28" i="22" s="1"/>
  <c r="AM59" i="22"/>
  <c r="AN59" i="22"/>
  <c r="AO59" i="22"/>
  <c r="AP59" i="22"/>
  <c r="AL59" i="22"/>
  <c r="AL60" i="22"/>
  <c r="AN60" i="22"/>
  <c r="AO60" i="22"/>
  <c r="AP60" i="22"/>
  <c r="AM58" i="22"/>
  <c r="AO58" i="22"/>
  <c r="AL58" i="22"/>
  <c r="AP58" i="22"/>
  <c r="AN58" i="22"/>
  <c r="AP27" i="22"/>
  <c r="AN25" i="22"/>
  <c r="AM26" i="22"/>
  <c r="AT97" i="22" l="1"/>
  <c r="AX97" i="22"/>
  <c r="AL97" i="22"/>
  <c r="AU97" i="22"/>
  <c r="AV97" i="22"/>
  <c r="AU25" i="22"/>
  <c r="AU28" i="22" s="1"/>
  <c r="AX25" i="22"/>
  <c r="BB59" i="22"/>
  <c r="AQ26" i="22"/>
  <c r="AV25" i="22"/>
  <c r="AV28" i="22" s="1"/>
  <c r="AW25" i="22"/>
  <c r="AW28" i="22" s="1"/>
  <c r="AM97" i="22"/>
  <c r="AS25" i="22"/>
  <c r="AS28" i="22" s="1"/>
  <c r="AM98" i="22"/>
  <c r="AO26" i="22"/>
  <c r="AN98" i="22"/>
  <c r="AL25" i="22"/>
  <c r="AP26" i="22"/>
  <c r="AO98" i="22"/>
  <c r="AM25" i="22"/>
  <c r="AO25" i="22"/>
  <c r="BE59" i="22"/>
  <c r="AN26" i="22"/>
  <c r="AZ59" i="22"/>
  <c r="AQ25" i="22"/>
  <c r="BA59" i="22"/>
  <c r="AS97" i="22"/>
  <c r="BC59" i="22"/>
  <c r="AM60" i="22"/>
  <c r="AQ28" i="22" l="1"/>
  <c r="AQ30" i="22" s="1"/>
  <c r="AQ31" i="22" s="1"/>
  <c r="K238" i="23" l="1"/>
  <c r="J238" i="23"/>
  <c r="H238" i="23"/>
  <c r="E238" i="23"/>
  <c r="K237" i="23"/>
  <c r="H237" i="23"/>
  <c r="E237" i="23"/>
  <c r="J236" i="23"/>
  <c r="K236" i="23" s="1"/>
  <c r="H236" i="23"/>
  <c r="E236" i="23"/>
  <c r="K235" i="23"/>
  <c r="H235" i="23"/>
  <c r="E235" i="23"/>
  <c r="K234" i="23"/>
  <c r="H234" i="23"/>
  <c r="E234" i="23"/>
  <c r="K233" i="23"/>
  <c r="H233" i="23"/>
  <c r="E233" i="23"/>
  <c r="K232" i="23"/>
  <c r="H232" i="23"/>
  <c r="E232" i="23"/>
  <c r="K231" i="23"/>
  <c r="H231" i="23"/>
  <c r="E231" i="23"/>
  <c r="K230" i="23"/>
  <c r="J230" i="23"/>
  <c r="H230" i="23"/>
  <c r="E230" i="23"/>
  <c r="K229" i="23"/>
  <c r="H229" i="23"/>
  <c r="E229" i="23"/>
  <c r="J228" i="23"/>
  <c r="K228" i="23" s="1"/>
  <c r="H228" i="23"/>
  <c r="E228" i="23"/>
  <c r="K227" i="23"/>
  <c r="H227" i="23"/>
  <c r="E227" i="23"/>
  <c r="K226" i="23"/>
  <c r="H226" i="23"/>
  <c r="E226" i="23"/>
  <c r="K225" i="23"/>
  <c r="H225" i="23"/>
  <c r="E225" i="23"/>
  <c r="K224" i="23"/>
  <c r="H224" i="23"/>
  <c r="E224" i="23"/>
  <c r="K223" i="23"/>
  <c r="H223" i="23"/>
  <c r="E223" i="23"/>
  <c r="K222" i="23"/>
  <c r="H222" i="23"/>
  <c r="E222" i="23"/>
  <c r="K221" i="23"/>
  <c r="H221" i="23"/>
  <c r="E221" i="23"/>
  <c r="K220" i="23"/>
  <c r="H220" i="23"/>
  <c r="E220" i="23"/>
  <c r="K219" i="23"/>
  <c r="H219" i="23"/>
  <c r="E219" i="23"/>
  <c r="K218" i="23"/>
  <c r="H218" i="23"/>
  <c r="E218" i="23"/>
  <c r="K217" i="23"/>
  <c r="H217" i="23"/>
  <c r="E217" i="23"/>
  <c r="K216" i="23"/>
  <c r="H216" i="23"/>
  <c r="E216" i="23"/>
  <c r="K215" i="23"/>
  <c r="H215" i="23"/>
  <c r="E215" i="23"/>
  <c r="K214" i="23"/>
  <c r="H214" i="23"/>
  <c r="E214" i="23"/>
  <c r="K213" i="23"/>
  <c r="H213" i="23"/>
  <c r="E213" i="23"/>
  <c r="K212" i="23"/>
  <c r="H212" i="23"/>
  <c r="E212" i="23"/>
  <c r="K211" i="23"/>
  <c r="H211" i="23"/>
  <c r="E211" i="23"/>
  <c r="K210" i="23"/>
  <c r="H210" i="23"/>
  <c r="E210" i="23"/>
  <c r="K209" i="23"/>
  <c r="H209" i="23"/>
  <c r="E209" i="23"/>
  <c r="K208" i="23"/>
  <c r="H208" i="23"/>
  <c r="E208" i="23"/>
  <c r="K207" i="23"/>
  <c r="H207" i="23"/>
  <c r="E207" i="23"/>
  <c r="K206" i="23"/>
  <c r="H206" i="23"/>
  <c r="E206" i="23"/>
  <c r="K205" i="23"/>
  <c r="H205" i="23"/>
  <c r="E205" i="23"/>
  <c r="K204" i="23"/>
  <c r="H204" i="23"/>
  <c r="E204" i="23"/>
  <c r="K203" i="23"/>
  <c r="H203" i="23"/>
  <c r="E203" i="23"/>
  <c r="K202" i="23"/>
  <c r="H202" i="23"/>
  <c r="E202" i="23"/>
  <c r="K201" i="23"/>
  <c r="H201" i="23"/>
  <c r="E201" i="23"/>
  <c r="K200" i="23"/>
  <c r="J200" i="23"/>
  <c r="H200" i="23"/>
  <c r="E200" i="23"/>
  <c r="K199" i="23"/>
  <c r="H199" i="23"/>
  <c r="E199" i="23"/>
  <c r="K198" i="23"/>
  <c r="H198" i="23"/>
  <c r="E198" i="23"/>
  <c r="K197" i="23"/>
  <c r="H197" i="23"/>
  <c r="E197" i="23"/>
  <c r="K196" i="23"/>
  <c r="H196" i="23"/>
  <c r="E196" i="23"/>
  <c r="K195" i="23"/>
  <c r="H195" i="23"/>
  <c r="E195" i="23"/>
  <c r="K194" i="23"/>
  <c r="H194" i="23"/>
  <c r="E194" i="23"/>
  <c r="K193" i="23"/>
  <c r="H193" i="23"/>
  <c r="E193" i="23"/>
  <c r="K192" i="23"/>
  <c r="H192" i="23"/>
  <c r="E192" i="23"/>
  <c r="K191" i="23"/>
  <c r="H191" i="23"/>
  <c r="E191" i="23"/>
  <c r="K190" i="23"/>
  <c r="H190" i="23"/>
  <c r="E190" i="23"/>
  <c r="K189" i="23"/>
  <c r="H189" i="23"/>
  <c r="E189" i="23"/>
  <c r="K188" i="23"/>
  <c r="H188" i="23"/>
  <c r="E188" i="23"/>
  <c r="K187" i="23"/>
  <c r="H187" i="23"/>
  <c r="E187" i="23"/>
  <c r="K186" i="23"/>
  <c r="H186" i="23"/>
  <c r="E186" i="23"/>
  <c r="K185" i="23"/>
  <c r="H185" i="23"/>
  <c r="E185" i="23"/>
  <c r="K184" i="23"/>
  <c r="H184" i="23"/>
  <c r="E184" i="23"/>
  <c r="K183" i="23"/>
  <c r="H183" i="23"/>
  <c r="E183" i="23"/>
  <c r="K182" i="23"/>
  <c r="H182" i="23"/>
  <c r="E182" i="23"/>
  <c r="K181" i="23"/>
  <c r="H181" i="23"/>
  <c r="E181" i="23"/>
  <c r="K180" i="23"/>
  <c r="H180" i="23"/>
  <c r="E180" i="23"/>
  <c r="K179" i="23"/>
  <c r="H179" i="23"/>
  <c r="E179" i="23"/>
  <c r="K178" i="23"/>
  <c r="H178" i="23"/>
  <c r="E178" i="23"/>
  <c r="K177" i="23"/>
  <c r="H177" i="23"/>
  <c r="E177" i="23"/>
  <c r="K176" i="23"/>
  <c r="H176" i="23"/>
  <c r="E176" i="23"/>
  <c r="K175" i="23"/>
  <c r="H175" i="23"/>
  <c r="E175" i="23"/>
  <c r="K174" i="23"/>
  <c r="H174" i="23"/>
  <c r="E174" i="23"/>
  <c r="K173" i="23"/>
  <c r="H173" i="23"/>
  <c r="E173" i="23"/>
  <c r="K172" i="23"/>
  <c r="H172" i="23"/>
  <c r="E172" i="23"/>
  <c r="K171" i="23"/>
  <c r="H171" i="23"/>
  <c r="E171" i="23"/>
  <c r="K170" i="23"/>
  <c r="H170" i="23"/>
  <c r="E170" i="23"/>
  <c r="K169" i="23"/>
  <c r="H169" i="23"/>
  <c r="E169" i="23"/>
  <c r="K168" i="23"/>
  <c r="H168" i="23"/>
  <c r="E168" i="23"/>
  <c r="K167" i="23"/>
  <c r="H167" i="23"/>
  <c r="E167" i="23"/>
  <c r="K166" i="23"/>
  <c r="H166" i="23"/>
  <c r="E166" i="23"/>
  <c r="K165" i="23"/>
  <c r="H165" i="23"/>
  <c r="E165" i="23"/>
  <c r="K164" i="23"/>
  <c r="H164" i="23"/>
  <c r="E164" i="23"/>
  <c r="K163" i="23"/>
  <c r="H163" i="23"/>
  <c r="E163" i="23"/>
  <c r="K162" i="23"/>
  <c r="H162" i="23"/>
  <c r="E162" i="23"/>
  <c r="K161" i="23"/>
  <c r="H161" i="23"/>
  <c r="E161" i="23"/>
  <c r="K160" i="23"/>
  <c r="H160" i="23"/>
  <c r="E160" i="23"/>
  <c r="K159" i="23"/>
  <c r="H159" i="23"/>
  <c r="E159" i="23"/>
  <c r="K158" i="23"/>
  <c r="H158" i="23"/>
  <c r="E158" i="23"/>
  <c r="K157" i="23"/>
  <c r="H157" i="23"/>
  <c r="E157" i="23"/>
  <c r="K156" i="23"/>
  <c r="H156" i="23"/>
  <c r="E156" i="23"/>
  <c r="K155" i="23"/>
  <c r="H155" i="23"/>
  <c r="E155" i="23"/>
  <c r="K154" i="23"/>
  <c r="H154" i="23"/>
  <c r="E154" i="23"/>
  <c r="K153" i="23"/>
  <c r="H153" i="23"/>
  <c r="E153" i="23"/>
  <c r="K152" i="23"/>
  <c r="H152" i="23"/>
  <c r="E152" i="23"/>
  <c r="K151" i="23"/>
  <c r="H151" i="23"/>
  <c r="E151" i="23"/>
  <c r="K150" i="23"/>
  <c r="H150" i="23"/>
  <c r="E150" i="23"/>
  <c r="K149" i="23"/>
  <c r="H149" i="23"/>
  <c r="E149" i="23"/>
  <c r="K148" i="23"/>
  <c r="H148" i="23"/>
  <c r="E148" i="23"/>
  <c r="K147" i="23"/>
  <c r="H147" i="23"/>
  <c r="E147" i="23"/>
  <c r="K146" i="23"/>
  <c r="H146" i="23"/>
  <c r="E146" i="23"/>
  <c r="K145" i="23"/>
  <c r="H145" i="23"/>
  <c r="E145" i="23"/>
  <c r="K144" i="23"/>
  <c r="H144" i="23"/>
  <c r="E144" i="23"/>
  <c r="K143" i="23"/>
  <c r="H143" i="23"/>
  <c r="E143" i="23"/>
  <c r="K142" i="23"/>
  <c r="H142" i="23"/>
  <c r="E142" i="23"/>
  <c r="K141" i="23"/>
  <c r="H141" i="23"/>
  <c r="E141" i="23"/>
  <c r="K140" i="23"/>
  <c r="H140" i="23"/>
  <c r="E140" i="23"/>
  <c r="K139" i="23"/>
  <c r="H139" i="23"/>
  <c r="E139" i="23"/>
  <c r="K138" i="23"/>
  <c r="H138" i="23"/>
  <c r="E138" i="23"/>
  <c r="K137" i="23"/>
  <c r="H137" i="23"/>
  <c r="E137" i="23"/>
  <c r="K136" i="23"/>
  <c r="H136" i="23"/>
  <c r="E136" i="23"/>
  <c r="K135" i="23"/>
  <c r="H135" i="23"/>
  <c r="E135" i="23"/>
  <c r="K134" i="23"/>
  <c r="H134" i="23"/>
  <c r="E134" i="23"/>
  <c r="E128" i="23"/>
  <c r="K127" i="23"/>
  <c r="H127" i="23"/>
  <c r="E127" i="23"/>
  <c r="H126" i="23"/>
  <c r="E126" i="23"/>
  <c r="K125" i="23"/>
  <c r="H125" i="23"/>
  <c r="E125" i="23"/>
  <c r="K123" i="23"/>
  <c r="H123" i="23"/>
  <c r="E123" i="23"/>
  <c r="H121" i="23"/>
  <c r="E121" i="23"/>
  <c r="H120" i="23"/>
  <c r="E120" i="23"/>
  <c r="K119" i="23"/>
  <c r="H119" i="23"/>
  <c r="E119" i="23"/>
  <c r="K115" i="23"/>
  <c r="H115" i="23"/>
  <c r="E115" i="23"/>
  <c r="K114" i="23"/>
  <c r="H114" i="23"/>
  <c r="E114" i="23"/>
  <c r="K113" i="23"/>
  <c r="H113" i="23"/>
  <c r="E113" i="23"/>
  <c r="K112" i="23"/>
  <c r="H112" i="23"/>
  <c r="E112" i="23"/>
  <c r="K111" i="23"/>
  <c r="H111" i="23"/>
  <c r="E111" i="23"/>
  <c r="K110" i="23"/>
  <c r="H110" i="23"/>
  <c r="E110" i="23"/>
  <c r="K109" i="23"/>
  <c r="H109" i="23"/>
  <c r="E109" i="23"/>
  <c r="K108" i="23"/>
  <c r="H108" i="23"/>
  <c r="E108" i="23"/>
  <c r="K107" i="23"/>
  <c r="H107" i="23"/>
  <c r="E107" i="23"/>
  <c r="K106" i="23"/>
  <c r="H106" i="23"/>
  <c r="E106" i="23"/>
  <c r="K105" i="23"/>
  <c r="H105" i="23"/>
  <c r="E105" i="23"/>
  <c r="K104" i="23"/>
  <c r="H104" i="23"/>
  <c r="E104" i="23"/>
  <c r="K103" i="23"/>
  <c r="H103" i="23"/>
  <c r="E103" i="23"/>
  <c r="K102" i="23"/>
  <c r="H102" i="23"/>
  <c r="E102" i="23"/>
  <c r="K101" i="23"/>
  <c r="H101" i="23"/>
  <c r="E101" i="23"/>
  <c r="K100" i="23"/>
  <c r="H100" i="23"/>
  <c r="E100" i="23"/>
  <c r="K99" i="23"/>
  <c r="H99" i="23"/>
  <c r="E99" i="23"/>
  <c r="K98" i="23"/>
  <c r="H98" i="23"/>
  <c r="E98" i="23"/>
  <c r="K97" i="23"/>
  <c r="H97" i="23"/>
  <c r="E97" i="23"/>
  <c r="K96" i="23"/>
  <c r="H96" i="23"/>
  <c r="E96" i="23"/>
  <c r="K95" i="23"/>
  <c r="H95" i="23"/>
  <c r="E95" i="23"/>
  <c r="K94" i="23"/>
  <c r="H94" i="23"/>
  <c r="E94" i="23"/>
  <c r="K93" i="23"/>
  <c r="H93" i="23"/>
  <c r="E93" i="23"/>
  <c r="K92" i="23"/>
  <c r="H92" i="23"/>
  <c r="E92" i="23"/>
  <c r="K91" i="23"/>
  <c r="H91" i="23"/>
  <c r="E91" i="23"/>
  <c r="K90" i="23"/>
  <c r="H90" i="23"/>
  <c r="E90" i="23"/>
  <c r="K89" i="23"/>
  <c r="H89" i="23"/>
  <c r="E89" i="23"/>
  <c r="K88" i="23"/>
  <c r="H88" i="23"/>
  <c r="E88" i="23"/>
  <c r="K87" i="23"/>
  <c r="H87" i="23"/>
  <c r="E87" i="23"/>
  <c r="K86" i="23"/>
  <c r="H86" i="23"/>
  <c r="E86" i="23"/>
  <c r="K85" i="23"/>
  <c r="H85" i="23"/>
  <c r="E85" i="23"/>
  <c r="K84" i="23"/>
  <c r="H84" i="23"/>
  <c r="E84" i="23"/>
  <c r="K83" i="23"/>
  <c r="H83" i="23"/>
  <c r="E83" i="23"/>
  <c r="K82" i="23"/>
  <c r="H82" i="23"/>
  <c r="E82" i="23"/>
  <c r="K81" i="23"/>
  <c r="H81" i="23"/>
  <c r="E81" i="23"/>
  <c r="K80" i="23"/>
  <c r="H80" i="23"/>
  <c r="E80" i="23"/>
  <c r="K79" i="23"/>
  <c r="H79" i="23"/>
  <c r="E79" i="23"/>
  <c r="K78" i="23"/>
  <c r="H78" i="23"/>
  <c r="E78" i="23"/>
  <c r="K77" i="23"/>
  <c r="H77" i="23"/>
  <c r="E77" i="23"/>
  <c r="K76" i="23"/>
  <c r="H76" i="23"/>
  <c r="E76" i="23"/>
  <c r="K75" i="23"/>
  <c r="H75" i="23"/>
  <c r="E75" i="23"/>
  <c r="K74" i="23"/>
  <c r="H74" i="23"/>
  <c r="E74" i="23"/>
  <c r="K73" i="23"/>
  <c r="H73" i="23"/>
  <c r="E73" i="23"/>
  <c r="K72" i="23"/>
  <c r="H72" i="23"/>
  <c r="E72" i="23"/>
  <c r="K71" i="23"/>
  <c r="H71" i="23"/>
  <c r="E71" i="23"/>
  <c r="K70" i="23"/>
  <c r="H70" i="23"/>
  <c r="E70" i="23"/>
  <c r="K69" i="23"/>
  <c r="H69" i="23"/>
  <c r="E69" i="23"/>
  <c r="K68" i="23"/>
  <c r="H68" i="23"/>
  <c r="E68" i="23"/>
  <c r="K67" i="23"/>
  <c r="H67" i="23"/>
  <c r="E67" i="23"/>
  <c r="K66" i="23"/>
  <c r="H66" i="23"/>
  <c r="E66" i="23"/>
  <c r="K65" i="23"/>
  <c r="H65" i="23"/>
  <c r="E65" i="23"/>
  <c r="K64" i="23"/>
  <c r="H64" i="23"/>
  <c r="E64" i="23"/>
  <c r="K63" i="23"/>
  <c r="H63" i="23"/>
  <c r="E63" i="23"/>
  <c r="K62" i="23"/>
  <c r="H62" i="23"/>
  <c r="E62" i="23"/>
  <c r="K61" i="23"/>
  <c r="H61" i="23"/>
  <c r="E61" i="23"/>
  <c r="K60" i="23"/>
  <c r="H60" i="23"/>
  <c r="E60" i="23"/>
  <c r="K59" i="23"/>
  <c r="H59" i="23"/>
  <c r="E59" i="23"/>
  <c r="K58" i="23"/>
  <c r="H58" i="23"/>
  <c r="E58" i="23"/>
  <c r="K57" i="23"/>
  <c r="H57" i="23"/>
  <c r="E57" i="23"/>
  <c r="K56" i="23"/>
  <c r="H56" i="23"/>
  <c r="E56" i="23"/>
  <c r="K55" i="23"/>
  <c r="H55" i="23"/>
  <c r="E55" i="23"/>
  <c r="K54" i="23"/>
  <c r="H54" i="23"/>
  <c r="E54" i="23"/>
  <c r="K53" i="23"/>
  <c r="H53" i="23"/>
  <c r="E53" i="23"/>
  <c r="K52" i="23"/>
  <c r="H52" i="23"/>
  <c r="E52" i="23"/>
  <c r="K51" i="23"/>
  <c r="H51" i="23"/>
  <c r="E51" i="23"/>
  <c r="K50" i="23"/>
  <c r="H50" i="23"/>
  <c r="E50" i="23"/>
  <c r="K49" i="23"/>
  <c r="H49" i="23"/>
  <c r="E49" i="23"/>
  <c r="K48" i="23"/>
  <c r="H48" i="23"/>
  <c r="E48" i="23"/>
  <c r="K47" i="23"/>
  <c r="H47" i="23"/>
  <c r="E47" i="23"/>
  <c r="K46" i="23"/>
  <c r="H46" i="23"/>
  <c r="E46" i="23"/>
  <c r="K45" i="23"/>
  <c r="H45" i="23"/>
  <c r="E45" i="23"/>
  <c r="K44" i="23"/>
  <c r="H44" i="23"/>
  <c r="E44" i="23"/>
  <c r="K43" i="23"/>
  <c r="H43" i="23"/>
  <c r="E43" i="23"/>
  <c r="K42" i="23"/>
  <c r="H42" i="23"/>
  <c r="E42" i="23"/>
  <c r="K41" i="23"/>
  <c r="H41" i="23"/>
  <c r="E41" i="23"/>
  <c r="K40" i="23"/>
  <c r="H40" i="23"/>
  <c r="E40" i="23"/>
  <c r="K39" i="23"/>
  <c r="H39" i="23"/>
  <c r="E39" i="23"/>
  <c r="K38" i="23"/>
  <c r="H38" i="23"/>
  <c r="E38" i="23"/>
  <c r="K37" i="23"/>
  <c r="H37" i="23"/>
  <c r="E37" i="23"/>
  <c r="K36" i="23"/>
  <c r="H36" i="23"/>
  <c r="E36" i="23"/>
  <c r="K35" i="23"/>
  <c r="H35" i="23"/>
  <c r="E35" i="23"/>
  <c r="K34" i="23"/>
  <c r="H34" i="23"/>
  <c r="E34" i="23"/>
  <c r="K33" i="23"/>
  <c r="H33" i="23"/>
  <c r="E33" i="23"/>
  <c r="K32" i="23"/>
  <c r="H32" i="23"/>
  <c r="E32" i="23"/>
  <c r="K31" i="23"/>
  <c r="H31" i="23"/>
  <c r="E31" i="23"/>
  <c r="K30" i="23"/>
  <c r="H30" i="23"/>
  <c r="E30" i="23"/>
  <c r="K29" i="23"/>
  <c r="H29" i="23"/>
  <c r="E29" i="23"/>
  <c r="K28" i="23"/>
  <c r="H28" i="23"/>
  <c r="E28" i="23"/>
  <c r="K27" i="23"/>
  <c r="H27" i="23"/>
  <c r="E27" i="23"/>
  <c r="K26" i="23"/>
  <c r="H26" i="23"/>
  <c r="E26" i="23"/>
  <c r="K25" i="23"/>
  <c r="H25" i="23"/>
  <c r="E25" i="23"/>
  <c r="K24" i="23"/>
  <c r="H24" i="23"/>
  <c r="E24" i="23"/>
  <c r="K23" i="23"/>
  <c r="H23" i="23"/>
  <c r="E23" i="23"/>
  <c r="K22" i="23"/>
  <c r="H22" i="23"/>
  <c r="E22" i="23"/>
  <c r="K21" i="23"/>
  <c r="G21" i="23"/>
  <c r="H21" i="23" s="1"/>
  <c r="E21" i="23"/>
  <c r="K20" i="23"/>
  <c r="H20" i="23"/>
  <c r="E20" i="23"/>
  <c r="K19" i="23"/>
  <c r="H19" i="23"/>
  <c r="E19" i="23"/>
  <c r="K18" i="23"/>
  <c r="H18" i="23"/>
  <c r="E18" i="23"/>
  <c r="K17" i="23"/>
  <c r="H17" i="23"/>
  <c r="E17" i="23"/>
  <c r="K16" i="23"/>
  <c r="H16" i="23"/>
  <c r="E16" i="23"/>
  <c r="K15" i="23"/>
  <c r="H15" i="23"/>
  <c r="E15" i="23"/>
  <c r="K14" i="23"/>
  <c r="H14" i="23"/>
  <c r="E14" i="23"/>
  <c r="K13" i="23"/>
  <c r="H13" i="23"/>
  <c r="E13" i="23"/>
  <c r="K12" i="23"/>
  <c r="H12" i="23"/>
  <c r="E12" i="23"/>
  <c r="K11" i="23"/>
  <c r="H11" i="23"/>
  <c r="E11" i="23"/>
  <c r="K10" i="23"/>
  <c r="H10" i="23"/>
  <c r="E10" i="23"/>
  <c r="K9" i="23"/>
  <c r="H9" i="23"/>
  <c r="E9" i="23"/>
  <c r="K8" i="23"/>
  <c r="H8" i="23"/>
  <c r="E8" i="23"/>
  <c r="K7" i="23"/>
  <c r="H7" i="23"/>
  <c r="E7" i="23"/>
  <c r="K6" i="23"/>
  <c r="H6" i="23"/>
  <c r="E6" i="23"/>
  <c r="K5" i="23"/>
  <c r="H5" i="23"/>
  <c r="E5" i="23"/>
  <c r="K4" i="23"/>
  <c r="H4" i="23"/>
  <c r="E4" i="23"/>
  <c r="K3" i="23"/>
  <c r="H3" i="23"/>
  <c r="E3" i="23"/>
  <c r="K2" i="23"/>
  <c r="H2" i="23"/>
  <c r="AI132" i="23" l="1"/>
  <c r="AI124" i="23"/>
  <c r="AI131" i="23"/>
  <c r="AI133" i="23" l="1"/>
  <c r="AI136" i="23"/>
  <c r="AI135" i="23"/>
  <c r="AI134" i="23"/>
  <c r="AI119" i="23"/>
  <c r="AI114" i="23"/>
  <c r="I40" i="24"/>
  <c r="I39" i="24"/>
  <c r="I38" i="24"/>
  <c r="F96" i="24" s="1"/>
  <c r="B100" i="24"/>
  <c r="B104" i="24"/>
  <c r="B96" i="24"/>
  <c r="D79" i="24"/>
  <c r="L79" i="24"/>
  <c r="M79" i="24"/>
  <c r="K79" i="24"/>
  <c r="M64" i="24"/>
  <c r="L64" i="24"/>
  <c r="K64" i="24"/>
  <c r="AB44" i="24"/>
  <c r="W44" i="24"/>
  <c r="R44" i="24"/>
  <c r="AA44" i="24"/>
  <c r="V44" i="24"/>
  <c r="Q44" i="24"/>
  <c r="Z44" i="24"/>
  <c r="U44" i="24"/>
  <c r="P44" i="24"/>
  <c r="G104" i="24" l="1"/>
  <c r="F104" i="24"/>
  <c r="F100" i="24"/>
  <c r="G100" i="24"/>
  <c r="G96" i="24"/>
  <c r="M44" i="24"/>
  <c r="L44" i="24"/>
  <c r="K44" i="24"/>
  <c r="U78" i="22"/>
  <c r="T78" i="22"/>
  <c r="S78" i="22"/>
  <c r="U66" i="22"/>
  <c r="T66" i="22"/>
  <c r="S66" i="22"/>
  <c r="U54" i="22"/>
  <c r="T54" i="22"/>
  <c r="S54" i="22"/>
  <c r="M78" i="22"/>
  <c r="L78" i="22"/>
  <c r="K78" i="22"/>
  <c r="M66" i="22"/>
  <c r="L66" i="22"/>
  <c r="K66" i="22"/>
  <c r="M54" i="22"/>
  <c r="L54" i="22"/>
  <c r="K54" i="22"/>
  <c r="H40" i="22"/>
  <c r="B45" i="22" s="1"/>
  <c r="F40" i="22"/>
  <c r="B44" i="22" s="1"/>
  <c r="D40" i="22" a="1"/>
  <c r="D40" i="22" s="1"/>
  <c r="B43" i="22" s="1"/>
  <c r="D8" i="24"/>
  <c r="H2" i="24" a="1"/>
  <c r="H2" i="24" s="1"/>
  <c r="E3" i="24" s="1"/>
  <c r="N14" i="22"/>
  <c r="I96" i="24" l="1"/>
  <c r="I102" i="24"/>
  <c r="B90" i="24"/>
  <c r="B84" i="24"/>
  <c r="I97" i="24"/>
  <c r="I103" i="24"/>
  <c r="I95" i="24"/>
  <c r="I101" i="24"/>
  <c r="B91" i="24"/>
  <c r="B85" i="24" a="1"/>
  <c r="B85" i="24" s="1"/>
  <c r="B89" i="24"/>
  <c r="B83" i="24"/>
  <c r="N13" i="22"/>
  <c r="N11" i="22"/>
  <c r="L13" i="22"/>
  <c r="M11" i="22"/>
  <c r="I15" i="22"/>
  <c r="I16" i="22"/>
  <c r="I13" i="22"/>
  <c r="E78" i="22"/>
  <c r="D78" i="22"/>
  <c r="C78" i="22"/>
  <c r="E66" i="22"/>
  <c r="D66" i="22"/>
  <c r="C66" i="22"/>
  <c r="E54" i="22"/>
  <c r="D54" i="22"/>
  <c r="C54" i="22"/>
  <c r="G45" i="22"/>
  <c r="F40" i="24" s="1"/>
  <c r="G43" i="22"/>
  <c r="G44" i="22"/>
  <c r="K75" i="22" s="1"/>
  <c r="K81" i="22" s="1"/>
  <c r="E45" i="22"/>
  <c r="S51" i="22" s="1"/>
  <c r="T56" i="22" s="1"/>
  <c r="E43" i="22"/>
  <c r="D38" i="24" s="1"/>
  <c r="E44" i="22"/>
  <c r="D39" i="24" s="1"/>
  <c r="F44" i="22"/>
  <c r="F43" i="22"/>
  <c r="F45" i="22"/>
  <c r="M238" i="23"/>
  <c r="M237" i="23"/>
  <c r="M236" i="23"/>
  <c r="M235" i="23"/>
  <c r="M234" i="23"/>
  <c r="M233" i="23"/>
  <c r="M231" i="23"/>
  <c r="M230" i="23"/>
  <c r="M229" i="23"/>
  <c r="M228" i="23"/>
  <c r="M227" i="23"/>
  <c r="M226" i="23"/>
  <c r="M225" i="23"/>
  <c r="M224" i="23"/>
  <c r="M223" i="23"/>
  <c r="M222" i="23"/>
  <c r="M221" i="23"/>
  <c r="M220" i="23"/>
  <c r="M219" i="23"/>
  <c r="M217" i="23"/>
  <c r="M216" i="23"/>
  <c r="M215" i="23"/>
  <c r="M214" i="23"/>
  <c r="M213" i="23"/>
  <c r="M212" i="23"/>
  <c r="M211" i="23"/>
  <c r="M210" i="23"/>
  <c r="M209" i="23"/>
  <c r="M208" i="23"/>
  <c r="M207" i="23"/>
  <c r="M206" i="23"/>
  <c r="M205" i="23"/>
  <c r="M204" i="23"/>
  <c r="M202" i="23"/>
  <c r="M201" i="23"/>
  <c r="M200" i="23"/>
  <c r="M198" i="23"/>
  <c r="M197" i="23"/>
  <c r="M196" i="23"/>
  <c r="M195" i="23"/>
  <c r="M194" i="23"/>
  <c r="M193" i="23"/>
  <c r="M191" i="23"/>
  <c r="M190" i="23"/>
  <c r="M189" i="23"/>
  <c r="M184" i="23"/>
  <c r="M183" i="23"/>
  <c r="M182" i="23"/>
  <c r="M181" i="23"/>
  <c r="M180" i="23"/>
  <c r="M179" i="23"/>
  <c r="M178" i="23"/>
  <c r="M177" i="23"/>
  <c r="M176" i="23"/>
  <c r="M175" i="23"/>
  <c r="M174" i="23"/>
  <c r="M173" i="23"/>
  <c r="M172" i="23"/>
  <c r="M171" i="23"/>
  <c r="M170" i="23"/>
  <c r="M169" i="23"/>
  <c r="M168" i="23"/>
  <c r="M167" i="23"/>
  <c r="M166" i="23"/>
  <c r="M165" i="23"/>
  <c r="M164" i="23"/>
  <c r="M163" i="23"/>
  <c r="M162" i="23"/>
  <c r="M161" i="23"/>
  <c r="M160" i="23"/>
  <c r="M159" i="23"/>
  <c r="M158" i="23"/>
  <c r="M157" i="23"/>
  <c r="M156" i="23"/>
  <c r="M153" i="23"/>
  <c r="M152" i="23"/>
  <c r="M151" i="23"/>
  <c r="M150" i="23"/>
  <c r="M140" i="23"/>
  <c r="M139" i="23"/>
  <c r="M137" i="23"/>
  <c r="M115" i="23"/>
  <c r="M113" i="23"/>
  <c r="M112" i="23"/>
  <c r="M111" i="23"/>
  <c r="M107" i="23"/>
  <c r="M105" i="23"/>
  <c r="M104" i="23"/>
  <c r="M102" i="23"/>
  <c r="M101" i="23"/>
  <c r="M100" i="23"/>
  <c r="M96" i="23"/>
  <c r="M95" i="23"/>
  <c r="M94" i="23"/>
  <c r="M89" i="23"/>
  <c r="M88" i="23"/>
  <c r="M84" i="23"/>
  <c r="M83" i="23"/>
  <c r="M82" i="23"/>
  <c r="M76" i="23"/>
  <c r="M75" i="23"/>
  <c r="M74" i="23"/>
  <c r="M72" i="23"/>
  <c r="M71" i="23"/>
  <c r="M70" i="23"/>
  <c r="M69" i="23"/>
  <c r="M67" i="23"/>
  <c r="M66" i="23"/>
  <c r="M61" i="23"/>
  <c r="M60" i="23"/>
  <c r="M59" i="23"/>
  <c r="M57" i="23"/>
  <c r="M46" i="23"/>
  <c r="M45" i="23"/>
  <c r="M44" i="23"/>
  <c r="M41" i="23"/>
  <c r="M40" i="23"/>
  <c r="M34" i="23"/>
  <c r="M33" i="23"/>
  <c r="M32" i="23"/>
  <c r="M31" i="23"/>
  <c r="M30" i="23"/>
  <c r="M29" i="23"/>
  <c r="M28" i="23"/>
  <c r="M27" i="23"/>
  <c r="M26" i="23"/>
  <c r="M25" i="23"/>
  <c r="M24" i="23"/>
  <c r="M23" i="23"/>
  <c r="M22" i="23"/>
  <c r="M19" i="23"/>
  <c r="M18" i="23"/>
  <c r="M17" i="23"/>
  <c r="M16" i="23"/>
  <c r="M15" i="23"/>
  <c r="M14" i="23"/>
  <c r="M11" i="23"/>
  <c r="M10" i="23"/>
  <c r="BE102" i="22"/>
  <c r="BE103" i="22" s="1"/>
  <c r="BD102" i="22"/>
  <c r="BD103" i="22" s="1"/>
  <c r="AP102" i="22"/>
  <c r="AP103" i="22" s="1"/>
  <c r="AQ63" i="22"/>
  <c r="AQ64" i="22" s="1"/>
  <c r="BE30" i="22"/>
  <c r="BE31" i="22" s="1"/>
  <c r="AN61" i="22"/>
  <c r="AN63" i="22" s="1"/>
  <c r="AN64" i="22" s="1"/>
  <c r="AN28" i="22"/>
  <c r="AN30" i="22" s="1"/>
  <c r="AN31" i="22" s="1"/>
  <c r="I5" i="22"/>
  <c r="M5" i="22"/>
  <c r="J4" i="22"/>
  <c r="K4" i="22"/>
  <c r="L4" i="22"/>
  <c r="M4" i="22"/>
  <c r="N4" i="22"/>
  <c r="I4" i="22"/>
  <c r="I7" i="22"/>
  <c r="I8" i="22"/>
  <c r="I9" i="22"/>
  <c r="I6" i="22"/>
  <c r="C5" i="22"/>
  <c r="D5" i="22"/>
  <c r="E5" i="22"/>
  <c r="F5" i="22"/>
  <c r="G5" i="22"/>
  <c r="C6" i="22"/>
  <c r="C8" i="22"/>
  <c r="D8" i="22"/>
  <c r="E8" i="22"/>
  <c r="F8" i="22"/>
  <c r="G8" i="22"/>
  <c r="C9" i="22"/>
  <c r="D9" i="22"/>
  <c r="C10" i="22"/>
  <c r="B11" i="22"/>
  <c r="B12" i="22"/>
  <c r="C14" i="22"/>
  <c r="C16" i="22"/>
  <c r="B17" i="22"/>
  <c r="B18" i="22"/>
  <c r="C3" i="22"/>
  <c r="N16" i="22" l="1"/>
  <c r="N15" i="22"/>
  <c r="BC28" i="22"/>
  <c r="BC30" i="22" s="1"/>
  <c r="BC31" i="22" s="1"/>
  <c r="K63" i="22"/>
  <c r="K71" i="22" s="1"/>
  <c r="E39" i="24"/>
  <c r="S63" i="22"/>
  <c r="U71" i="22" s="1"/>
  <c r="E40" i="24"/>
  <c r="F39" i="24"/>
  <c r="L84" i="22"/>
  <c r="M81" i="22"/>
  <c r="M84" i="22"/>
  <c r="L82" i="22"/>
  <c r="L80" i="22"/>
  <c r="M82" i="22"/>
  <c r="K84" i="22"/>
  <c r="L83" i="22"/>
  <c r="U56" i="22"/>
  <c r="K82" i="22"/>
  <c r="L81" i="22"/>
  <c r="K80" i="22"/>
  <c r="K83" i="22"/>
  <c r="M80" i="22"/>
  <c r="M83" i="22"/>
  <c r="S75" i="22"/>
  <c r="U82" i="22" s="1"/>
  <c r="T57" i="22"/>
  <c r="T60" i="22"/>
  <c r="T58" i="22"/>
  <c r="S60" i="22"/>
  <c r="U57" i="22"/>
  <c r="T59" i="22"/>
  <c r="D40" i="24"/>
  <c r="S59" i="22"/>
  <c r="BA100" i="22"/>
  <c r="BA102" i="22" s="1"/>
  <c r="BA103" i="22" s="1"/>
  <c r="S57" i="22"/>
  <c r="S58" i="22"/>
  <c r="U60" i="22"/>
  <c r="U59" i="22"/>
  <c r="K51" i="22"/>
  <c r="K56" i="22" s="1"/>
  <c r="S56" i="22"/>
  <c r="U58" i="22"/>
  <c r="BA28" i="22"/>
  <c r="BA30" i="22" s="1"/>
  <c r="BA31" i="22" s="1"/>
  <c r="AN100" i="22"/>
  <c r="AN102" i="22" s="1"/>
  <c r="AN103" i="22" s="1"/>
  <c r="AW100" i="22"/>
  <c r="AW102" i="22" s="1"/>
  <c r="AW103" i="22" s="1"/>
  <c r="AU100" i="22"/>
  <c r="AU102" i="22" s="1"/>
  <c r="AU103" i="22" s="1"/>
  <c r="AM28" i="22"/>
  <c r="AM30" i="22" s="1"/>
  <c r="AM31" i="22" s="1"/>
  <c r="AL61" i="22"/>
  <c r="AL63" i="22" s="1"/>
  <c r="AL64" i="22" s="1"/>
  <c r="AM61" i="22"/>
  <c r="AM63" i="22" s="1"/>
  <c r="AM64" i="22" s="1"/>
  <c r="AX100" i="22"/>
  <c r="AX102" i="22" s="1"/>
  <c r="AX103" i="22" s="1"/>
  <c r="AT30" i="22"/>
  <c r="AT31" i="22" s="1"/>
  <c r="AT61" i="22"/>
  <c r="AT63" i="22" s="1"/>
  <c r="AT64" i="22" s="1"/>
  <c r="AV30" i="22"/>
  <c r="AV31" i="22" s="1"/>
  <c r="BB28" i="22"/>
  <c r="BB30" i="22" s="1"/>
  <c r="BB31" i="22" s="1"/>
  <c r="BB100" i="22"/>
  <c r="BB102" i="22" s="1"/>
  <c r="BB103" i="22" s="1"/>
  <c r="BD28" i="22"/>
  <c r="BD30" i="22" s="1"/>
  <c r="BD31" i="22" s="1"/>
  <c r="AP61" i="22"/>
  <c r="AP63" i="22" s="1"/>
  <c r="AP64" i="22" s="1"/>
  <c r="BC61" i="22"/>
  <c r="BC63" i="22" s="1"/>
  <c r="BC64" i="22" s="1"/>
  <c r="AO61" i="22"/>
  <c r="AO63" i="22" s="1"/>
  <c r="AO64" i="22" s="1"/>
  <c r="AM100" i="22"/>
  <c r="AM102" i="22" s="1"/>
  <c r="AM103" i="22" s="1"/>
  <c r="AL100" i="22"/>
  <c r="AL102" i="22" s="1"/>
  <c r="AL103" i="22" s="1"/>
  <c r="AO100" i="22"/>
  <c r="AO102" i="22" s="1"/>
  <c r="AO103" i="22" s="1"/>
  <c r="AW61" i="22"/>
  <c r="AW63" i="22" s="1"/>
  <c r="AW64" i="22" s="1"/>
  <c r="AL28" i="22"/>
  <c r="AL30" i="22" s="1"/>
  <c r="AU61" i="22"/>
  <c r="AU63" i="22" s="1"/>
  <c r="AU64" i="22" s="1"/>
  <c r="AP28" i="22"/>
  <c r="AP30" i="22" s="1"/>
  <c r="AP31" i="22" s="1"/>
  <c r="AO28" i="22"/>
  <c r="AO30" i="22" s="1"/>
  <c r="AO31" i="22" s="1"/>
  <c r="BA61" i="22"/>
  <c r="BA63" i="22" s="1"/>
  <c r="BA64" i="22" s="1"/>
  <c r="BC100" i="22"/>
  <c r="BC102" i="22" s="1"/>
  <c r="BC103" i="22" s="1"/>
  <c r="AX61" i="22"/>
  <c r="AX63" i="22" s="1"/>
  <c r="AX64" i="22" s="1"/>
  <c r="AV100" i="22"/>
  <c r="AV102" i="22" s="1"/>
  <c r="AV103" i="22" s="1"/>
  <c r="AW30" i="22"/>
  <c r="AW31" i="22" s="1"/>
  <c r="AV61" i="22"/>
  <c r="AV63" i="22" s="1"/>
  <c r="AV64" i="22" s="1"/>
  <c r="BD61" i="22"/>
  <c r="BD63" i="22" s="1"/>
  <c r="BD64" i="22" s="1"/>
  <c r="AT100" i="22"/>
  <c r="AT102" i="22" s="1"/>
  <c r="AT103" i="22" s="1"/>
  <c r="AX28" i="22"/>
  <c r="AX30" i="22" s="1"/>
  <c r="AX31" i="22" s="1"/>
  <c r="BE61" i="22"/>
  <c r="BE63" i="22" s="1"/>
  <c r="BE64" i="22" s="1"/>
  <c r="AU30" i="22"/>
  <c r="AU31" i="22" s="1"/>
  <c r="BB61" i="22"/>
  <c r="BB63" i="22" s="1"/>
  <c r="BB64" i="22" s="1"/>
  <c r="AS100" i="22"/>
  <c r="AS102" i="22" s="1"/>
  <c r="AS103" i="22" s="1"/>
  <c r="C63" i="22"/>
  <c r="D69" i="22" s="1"/>
  <c r="E38" i="24"/>
  <c r="C75" i="22"/>
  <c r="C84" i="22" s="1"/>
  <c r="F38" i="24"/>
  <c r="C51" i="22"/>
  <c r="E57" i="22" s="1"/>
  <c r="AZ100" i="22"/>
  <c r="AZ102" i="22" s="1"/>
  <c r="AZ103" i="22" s="1"/>
  <c r="AZ61" i="22"/>
  <c r="AZ63" i="22" s="1"/>
  <c r="AZ64" i="22" s="1"/>
  <c r="AS61" i="22"/>
  <c r="AS63" i="22" s="1"/>
  <c r="AS64" i="22" s="1"/>
  <c r="AZ28" i="22"/>
  <c r="AZ30" i="22" s="1"/>
  <c r="AZ31" i="22" s="1"/>
  <c r="AS30" i="22"/>
  <c r="AS31" i="22" s="1"/>
  <c r="BV42" i="4"/>
  <c r="BV41" i="4"/>
  <c r="BT42" i="4"/>
  <c r="BT41" i="4"/>
  <c r="BS50" i="4"/>
  <c r="I49" i="1"/>
  <c r="H49" i="1"/>
  <c r="J50" i="4"/>
  <c r="BR8" i="4"/>
  <c r="BR42" i="4"/>
  <c r="BR41" i="4"/>
  <c r="BX42" i="4"/>
  <c r="BX41" i="4"/>
  <c r="BS41" i="4" l="1"/>
  <c r="BS43" i="4" s="1"/>
  <c r="BS42" i="4"/>
  <c r="BS44" i="4" s="1"/>
  <c r="T68" i="22"/>
  <c r="T71" i="22"/>
  <c r="K70" i="22"/>
  <c r="S70" i="22"/>
  <c r="U68" i="22"/>
  <c r="T70" i="22"/>
  <c r="T69" i="22"/>
  <c r="S68" i="22"/>
  <c r="M68" i="22"/>
  <c r="K69" i="22"/>
  <c r="L70" i="22"/>
  <c r="M70" i="22"/>
  <c r="M71" i="22"/>
  <c r="K72" i="22"/>
  <c r="M72" i="22"/>
  <c r="S72" i="22"/>
  <c r="L72" i="22"/>
  <c r="S69" i="22"/>
  <c r="K68" i="22"/>
  <c r="M69" i="22"/>
  <c r="U69" i="22"/>
  <c r="S71" i="22"/>
  <c r="U72" i="22"/>
  <c r="T72" i="22"/>
  <c r="U70" i="22"/>
  <c r="L71" i="22"/>
  <c r="L69" i="22"/>
  <c r="L68" i="22"/>
  <c r="U83" i="22"/>
  <c r="T82" i="22"/>
  <c r="S84" i="22"/>
  <c r="T81" i="22"/>
  <c r="S83" i="22"/>
  <c r="T83" i="22"/>
  <c r="T84" i="22"/>
  <c r="U84" i="22"/>
  <c r="S80" i="22"/>
  <c r="U80" i="22"/>
  <c r="S82" i="22"/>
  <c r="U81" i="22"/>
  <c r="S81" i="22"/>
  <c r="T80" i="22"/>
  <c r="K57" i="22"/>
  <c r="K60" i="22"/>
  <c r="M59" i="22"/>
  <c r="L59" i="22"/>
  <c r="M60" i="22"/>
  <c r="M56" i="22"/>
  <c r="K59" i="22"/>
  <c r="L58" i="22"/>
  <c r="K58" i="22"/>
  <c r="M57" i="22"/>
  <c r="L60" i="22"/>
  <c r="M58" i="22"/>
  <c r="L56" i="22"/>
  <c r="L57" i="22"/>
  <c r="D80" i="22"/>
  <c r="E81" i="22"/>
  <c r="D84" i="22"/>
  <c r="E83" i="22"/>
  <c r="E84" i="22"/>
  <c r="D83" i="22"/>
  <c r="C83" i="22"/>
  <c r="E69" i="22"/>
  <c r="D59" i="22"/>
  <c r="C72" i="22"/>
  <c r="D81" i="22"/>
  <c r="D56" i="22"/>
  <c r="E68" i="22"/>
  <c r="D82" i="22"/>
  <c r="C59" i="22"/>
  <c r="C82" i="22"/>
  <c r="C56" i="22"/>
  <c r="E82" i="22"/>
  <c r="C80" i="22"/>
  <c r="C81" i="22"/>
  <c r="E80" i="22"/>
  <c r="C68" i="22"/>
  <c r="C71" i="22"/>
  <c r="C57" i="22"/>
  <c r="E58" i="22"/>
  <c r="E60" i="22"/>
  <c r="D70" i="22"/>
  <c r="C69" i="22"/>
  <c r="C60" i="22"/>
  <c r="D57" i="22"/>
  <c r="D72" i="22"/>
  <c r="E70" i="22"/>
  <c r="D68" i="22"/>
  <c r="E59" i="22"/>
  <c r="C58" i="22"/>
  <c r="E71" i="22"/>
  <c r="C70" i="22"/>
  <c r="E72" i="22"/>
  <c r="D58" i="22"/>
  <c r="D60" i="22"/>
  <c r="D71" i="22"/>
  <c r="E56" i="22"/>
  <c r="G95" i="21"/>
  <c r="G94" i="21"/>
  <c r="F98" i="21"/>
  <c r="W38" i="21"/>
  <c r="W37" i="21"/>
  <c r="M12" i="22" s="1"/>
  <c r="N12" i="22" l="1"/>
  <c r="O16" i="22"/>
  <c r="O15" i="22"/>
  <c r="W29" i="21"/>
  <c r="G40" i="21"/>
  <c r="G38" i="21"/>
  <c r="E37" i="21"/>
  <c r="U30" i="21" s="1"/>
  <c r="E36" i="21"/>
  <c r="F45" i="21"/>
  <c r="AL71" i="21" l="1"/>
  <c r="AL83" i="21"/>
  <c r="AL95" i="21"/>
  <c r="AL107" i="21"/>
  <c r="AL119" i="21"/>
  <c r="AL131" i="21"/>
  <c r="AL143" i="21"/>
  <c r="AL155" i="21"/>
  <c r="AL76" i="21"/>
  <c r="AL88" i="21"/>
  <c r="AL100" i="21"/>
  <c r="AL112" i="21"/>
  <c r="AL124" i="21"/>
  <c r="AL136" i="21"/>
  <c r="AL148" i="21"/>
  <c r="AL160" i="21"/>
  <c r="AL65" i="21"/>
  <c r="AL77" i="21"/>
  <c r="AL89" i="21"/>
  <c r="AL101" i="21"/>
  <c r="AL113" i="21"/>
  <c r="AL125" i="21"/>
  <c r="AL137" i="21"/>
  <c r="AL149" i="21"/>
  <c r="AL161" i="21"/>
  <c r="AL70" i="21"/>
  <c r="AL82" i="21"/>
  <c r="AL94" i="21"/>
  <c r="AL106" i="21"/>
  <c r="AL118" i="21"/>
  <c r="AL130" i="21"/>
  <c r="AL142" i="21"/>
  <c r="AL154" i="21"/>
  <c r="AL74" i="21"/>
  <c r="AL92" i="21"/>
  <c r="AL110" i="21"/>
  <c r="AL128" i="21"/>
  <c r="AL146" i="21"/>
  <c r="AL164" i="21"/>
  <c r="AL80" i="21"/>
  <c r="AL98" i="21"/>
  <c r="AL116" i="21"/>
  <c r="AL134" i="21"/>
  <c r="AL152" i="21"/>
  <c r="AL78" i="21"/>
  <c r="AL99" i="21"/>
  <c r="AL121" i="21"/>
  <c r="AL141" i="21"/>
  <c r="AL163" i="21"/>
  <c r="AL79" i="21"/>
  <c r="AL102" i="21"/>
  <c r="AL122" i="21"/>
  <c r="AL144" i="21"/>
  <c r="AL64" i="21"/>
  <c r="AM64" i="21" s="1"/>
  <c r="AL81" i="21"/>
  <c r="AL103" i="21"/>
  <c r="AL123" i="21"/>
  <c r="AL145" i="21"/>
  <c r="AL84" i="21"/>
  <c r="AL104" i="21"/>
  <c r="AL126" i="21"/>
  <c r="AL147" i="21"/>
  <c r="AL85" i="21"/>
  <c r="AL105" i="21"/>
  <c r="AL127" i="21"/>
  <c r="AL150" i="21"/>
  <c r="AL66" i="21"/>
  <c r="AL86" i="21"/>
  <c r="AL108" i="21"/>
  <c r="AL129" i="21"/>
  <c r="AL151" i="21"/>
  <c r="AL67" i="21"/>
  <c r="AL87" i="21"/>
  <c r="AL109" i="21"/>
  <c r="AL132" i="21"/>
  <c r="AL153" i="21"/>
  <c r="AL68" i="21"/>
  <c r="AL90" i="21"/>
  <c r="AL111" i="21"/>
  <c r="AL133" i="21"/>
  <c r="AL156" i="21"/>
  <c r="AL69" i="21"/>
  <c r="AL91" i="21"/>
  <c r="AL114" i="21"/>
  <c r="AL135" i="21"/>
  <c r="AL157" i="21"/>
  <c r="AL72" i="21"/>
  <c r="AL93" i="21"/>
  <c r="AL115" i="21"/>
  <c r="AL138" i="21"/>
  <c r="AL158" i="21"/>
  <c r="AL73" i="21"/>
  <c r="AL96" i="21"/>
  <c r="AL117" i="21"/>
  <c r="AL139" i="21"/>
  <c r="AL159" i="21"/>
  <c r="AL75" i="21"/>
  <c r="AL97" i="21"/>
  <c r="AL120" i="21"/>
  <c r="AL140" i="21"/>
  <c r="AL162" i="21"/>
  <c r="U29" i="21"/>
  <c r="C94" i="22" a="1"/>
  <c r="C94" i="22" s="1"/>
  <c r="F42" i="21"/>
  <c r="F44" i="21"/>
  <c r="AD93" i="21" l="1"/>
  <c r="AC37" i="21"/>
  <c r="AM65" i="21"/>
  <c r="AM66" i="21" s="1"/>
  <c r="AM67" i="21" s="1"/>
  <c r="AM68" i="21" s="1"/>
  <c r="AM69" i="21" s="1"/>
  <c r="AM70" i="21" s="1"/>
  <c r="AM71" i="21" s="1"/>
  <c r="AM72" i="21" s="1"/>
  <c r="AM73" i="21" s="1"/>
  <c r="AM74" i="21" s="1"/>
  <c r="AM75" i="21" s="1"/>
  <c r="AM76" i="21" s="1"/>
  <c r="AM77" i="21" s="1"/>
  <c r="AM78" i="21" s="1"/>
  <c r="AM79" i="21" s="1"/>
  <c r="AM80" i="21" s="1"/>
  <c r="AM81" i="21" s="1"/>
  <c r="AM82" i="21" s="1"/>
  <c r="AM83" i="21" s="1"/>
  <c r="AM84" i="21" s="1"/>
  <c r="AM85" i="21" s="1"/>
  <c r="AM86" i="21" s="1"/>
  <c r="AM87" i="21" s="1"/>
  <c r="AM88" i="21" s="1"/>
  <c r="AM89" i="21" s="1"/>
  <c r="AM90" i="21" s="1"/>
  <c r="AM91" i="21" s="1"/>
  <c r="AM92" i="21" s="1"/>
  <c r="AM93" i="21" s="1"/>
  <c r="AM94" i="21" s="1"/>
  <c r="AM95" i="21" s="1"/>
  <c r="AM96" i="21" s="1"/>
  <c r="AM97" i="21" s="1"/>
  <c r="AM98" i="21" s="1"/>
  <c r="AM99" i="21" s="1"/>
  <c r="AM100" i="21" s="1"/>
  <c r="AM101" i="21" s="1"/>
  <c r="AM102" i="21" s="1"/>
  <c r="AM103" i="21" s="1"/>
  <c r="AM104" i="21" s="1"/>
  <c r="AM105" i="21" s="1"/>
  <c r="AM106" i="21" s="1"/>
  <c r="AM107" i="21" s="1"/>
  <c r="AM108" i="21" s="1"/>
  <c r="AM109" i="21" s="1"/>
  <c r="AM110" i="21" s="1"/>
  <c r="AM111" i="21" s="1"/>
  <c r="AM112" i="21" s="1"/>
  <c r="AM113" i="21" s="1"/>
  <c r="AM114" i="21" s="1"/>
  <c r="AM115" i="21" s="1"/>
  <c r="AM116" i="21" s="1"/>
  <c r="AM117" i="21" s="1"/>
  <c r="AM118" i="21" s="1"/>
  <c r="AM119" i="21" s="1"/>
  <c r="AM120" i="21" s="1"/>
  <c r="AM121" i="21" s="1"/>
  <c r="AM122" i="21" s="1"/>
  <c r="AM123" i="21" s="1"/>
  <c r="AM124" i="21" s="1"/>
  <c r="AM125" i="21" s="1"/>
  <c r="AM126" i="21" s="1"/>
  <c r="AM127" i="21" s="1"/>
  <c r="AM128" i="21" s="1"/>
  <c r="AM129" i="21" s="1"/>
  <c r="AM130" i="21" s="1"/>
  <c r="AM131" i="21" s="1"/>
  <c r="AM132" i="21" s="1"/>
  <c r="AM133" i="21" s="1"/>
  <c r="AM134" i="21" s="1"/>
  <c r="AM135" i="21" s="1"/>
  <c r="AM136" i="21" s="1"/>
  <c r="AM137" i="21" s="1"/>
  <c r="AM138" i="21" s="1"/>
  <c r="AM139" i="21" s="1"/>
  <c r="AM140" i="21" s="1"/>
  <c r="AM141" i="21" s="1"/>
  <c r="AM142" i="21" s="1"/>
  <c r="AM143" i="21" s="1"/>
  <c r="AM144" i="21" s="1"/>
  <c r="AM145" i="21" s="1"/>
  <c r="AM146" i="21" s="1"/>
  <c r="AM147" i="21" s="1"/>
  <c r="AM148" i="21" s="1"/>
  <c r="AM149" i="21" s="1"/>
  <c r="AM150" i="21" s="1"/>
  <c r="AM151" i="21" s="1"/>
  <c r="AM152" i="21" s="1"/>
  <c r="AM153" i="21" s="1"/>
  <c r="AM154" i="21" s="1"/>
  <c r="AM155" i="21" s="1"/>
  <c r="AM156" i="21" s="1"/>
  <c r="AM157" i="21" s="1"/>
  <c r="AM158" i="21" s="1"/>
  <c r="AM159" i="21" s="1"/>
  <c r="AM160" i="21" s="1"/>
  <c r="AM161" i="21" s="1"/>
  <c r="AM162" i="21" s="1"/>
  <c r="AM163" i="21" s="1"/>
  <c r="AM164" i="21" s="1"/>
  <c r="AD155" i="21"/>
  <c r="AD96" i="21"/>
  <c r="AD116" i="21"/>
  <c r="AD80" i="21"/>
  <c r="AD127" i="21"/>
  <c r="AD71" i="21"/>
  <c r="AD151" i="21"/>
  <c r="AD75" i="21"/>
  <c r="AD100" i="21"/>
  <c r="AD164" i="21"/>
  <c r="AD92" i="21"/>
  <c r="AD156" i="21"/>
  <c r="AD137" i="21"/>
  <c r="AD129" i="21"/>
  <c r="AD117" i="21"/>
  <c r="AD66" i="21"/>
  <c r="AD148" i="21"/>
  <c r="AD76" i="21"/>
  <c r="AD121" i="21"/>
  <c r="AD122" i="21"/>
  <c r="AD160" i="21"/>
  <c r="AD130" i="21"/>
  <c r="AD91" i="21"/>
  <c r="AD104" i="21"/>
  <c r="AD108" i="21"/>
  <c r="AD105" i="21"/>
  <c r="AD86" i="21"/>
  <c r="AD94" i="21"/>
  <c r="AD81" i="21"/>
  <c r="AD142" i="21"/>
  <c r="AD120" i="21"/>
  <c r="AD65" i="21"/>
  <c r="AD115" i="21"/>
  <c r="AD95" i="21"/>
  <c r="AD125" i="21"/>
  <c r="AD102" i="21"/>
  <c r="AD132" i="21"/>
  <c r="AD98" i="21"/>
  <c r="AD145" i="21"/>
  <c r="AD107" i="21"/>
  <c r="AD85" i="21"/>
  <c r="AD118" i="21"/>
  <c r="AD113" i="21"/>
  <c r="AD72" i="21"/>
  <c r="AD103" i="21"/>
  <c r="AD158" i="21"/>
  <c r="AD152" i="21"/>
  <c r="AD82" i="21"/>
  <c r="AD112" i="21"/>
  <c r="AD68" i="21"/>
  <c r="AD138" i="21"/>
  <c r="AD149" i="21"/>
  <c r="AD77" i="21"/>
  <c r="AD157" i="21"/>
  <c r="AD136" i="21"/>
  <c r="AD74" i="21"/>
  <c r="AD131" i="21"/>
  <c r="AD124" i="21"/>
  <c r="AD147" i="21"/>
  <c r="AD133" i="21"/>
  <c r="AD134" i="21"/>
  <c r="AD162" i="21"/>
  <c r="AD119" i="21"/>
  <c r="AD126" i="21"/>
  <c r="AD114" i="21"/>
  <c r="AD144" i="21"/>
  <c r="AD88" i="21"/>
  <c r="AD101" i="21"/>
  <c r="AD135" i="21"/>
  <c r="AD83" i="21"/>
  <c r="AD78" i="21"/>
  <c r="AD110" i="21"/>
  <c r="AD90" i="21"/>
  <c r="AD139" i="21"/>
  <c r="AD154" i="21"/>
  <c r="AD79" i="21"/>
  <c r="AD159" i="21"/>
  <c r="AD69" i="21"/>
  <c r="AD123" i="21"/>
  <c r="AC29" i="21"/>
  <c r="AD97" i="21"/>
  <c r="AD163" i="21"/>
  <c r="AD109" i="21"/>
  <c r="AD140" i="21"/>
  <c r="AD70" i="21"/>
  <c r="AD84" i="21"/>
  <c r="AD111" i="21"/>
  <c r="AD64" i="21"/>
  <c r="AE64" i="21" s="1"/>
  <c r="AD67" i="21"/>
  <c r="AD161" i="21"/>
  <c r="AD99" i="21"/>
  <c r="AD153" i="21"/>
  <c r="AD143" i="21"/>
  <c r="AD150" i="21"/>
  <c r="AD128" i="21"/>
  <c r="AD73" i="21"/>
  <c r="AD106" i="21"/>
  <c r="AD146" i="21"/>
  <c r="AD87" i="21"/>
  <c r="AD141" i="21"/>
  <c r="AD89" i="21"/>
  <c r="Z30" i="21"/>
  <c r="AC30" i="21"/>
  <c r="AD30" i="21"/>
  <c r="F41" i="21"/>
  <c r="F43" i="21" s="1"/>
  <c r="AD38" i="21"/>
  <c r="AC38" i="21"/>
  <c r="AE38" i="21" s="1"/>
  <c r="Z38" i="21"/>
  <c r="AE65" i="21" l="1"/>
  <c r="AE66" i="21" s="1"/>
  <c r="AE67" i="21" s="1"/>
  <c r="AE68" i="21" s="1"/>
  <c r="AE69" i="21" s="1"/>
  <c r="AE70" i="21" s="1"/>
  <c r="AE71" i="21" s="1"/>
  <c r="AE72" i="21" s="1"/>
  <c r="AE73" i="21" s="1"/>
  <c r="AE74" i="21" s="1"/>
  <c r="AE75" i="21" s="1"/>
  <c r="AE76" i="21" s="1"/>
  <c r="AE77" i="21" s="1"/>
  <c r="AE78" i="21" s="1"/>
  <c r="AE79" i="21" s="1"/>
  <c r="AE80" i="21" s="1"/>
  <c r="AE81" i="21" s="1"/>
  <c r="AE82" i="21" s="1"/>
  <c r="AE83" i="21" s="1"/>
  <c r="AE84" i="21" s="1"/>
  <c r="AE85" i="21" s="1"/>
  <c r="AE86" i="21" s="1"/>
  <c r="AE87" i="21" s="1"/>
  <c r="AE88" i="21" s="1"/>
  <c r="AE89" i="21" s="1"/>
  <c r="AE90" i="21" s="1"/>
  <c r="AE91" i="21" s="1"/>
  <c r="AE92" i="21" s="1"/>
  <c r="AE93" i="21" s="1"/>
  <c r="AE94" i="21" s="1"/>
  <c r="AE95" i="21" s="1"/>
  <c r="AE96" i="21" s="1"/>
  <c r="AE97" i="21" s="1"/>
  <c r="AE98" i="21" s="1"/>
  <c r="AE99" i="21" s="1"/>
  <c r="AE100" i="21" s="1"/>
  <c r="AE101" i="21" s="1"/>
  <c r="AE102" i="21" s="1"/>
  <c r="AE103" i="21" s="1"/>
  <c r="AE104" i="21" s="1"/>
  <c r="AE105" i="21" s="1"/>
  <c r="AE106" i="21" s="1"/>
  <c r="AE107" i="21" s="1"/>
  <c r="AE108" i="21" s="1"/>
  <c r="AE109" i="21" s="1"/>
  <c r="AE110" i="21" s="1"/>
  <c r="AE111" i="21" s="1"/>
  <c r="AE112" i="21" s="1"/>
  <c r="AE113" i="21" s="1"/>
  <c r="AE114" i="21" s="1"/>
  <c r="AE115" i="21" s="1"/>
  <c r="AE116" i="21" s="1"/>
  <c r="AE117" i="21" s="1"/>
  <c r="AE118" i="21" s="1"/>
  <c r="AE119" i="21" s="1"/>
  <c r="AE120" i="21" s="1"/>
  <c r="AE121" i="21" s="1"/>
  <c r="AE122" i="21" s="1"/>
  <c r="AE123" i="21" s="1"/>
  <c r="AE124" i="21" s="1"/>
  <c r="AE125" i="21" s="1"/>
  <c r="AE126" i="21" s="1"/>
  <c r="AE127" i="21" s="1"/>
  <c r="AE128" i="21" s="1"/>
  <c r="AE129" i="21" s="1"/>
  <c r="AE130" i="21" s="1"/>
  <c r="AE131" i="21" s="1"/>
  <c r="AE132" i="21" s="1"/>
  <c r="AE133" i="21" s="1"/>
  <c r="AE134" i="21" s="1"/>
  <c r="AE135" i="21" s="1"/>
  <c r="AE136" i="21" s="1"/>
  <c r="AE137" i="21" s="1"/>
  <c r="AE138" i="21" s="1"/>
  <c r="AE139" i="21" s="1"/>
  <c r="AE140" i="21" s="1"/>
  <c r="AE141" i="21" s="1"/>
  <c r="AE142" i="21" s="1"/>
  <c r="AE143" i="21" s="1"/>
  <c r="AE144" i="21" s="1"/>
  <c r="AE145" i="21" s="1"/>
  <c r="AE146" i="21" s="1"/>
  <c r="AE147" i="21" s="1"/>
  <c r="AE148" i="21" s="1"/>
  <c r="AE149" i="21" s="1"/>
  <c r="AE150" i="21" s="1"/>
  <c r="AE151" i="21" s="1"/>
  <c r="AE152" i="21" s="1"/>
  <c r="AE153" i="21" s="1"/>
  <c r="AE154" i="21" s="1"/>
  <c r="AE155" i="21" s="1"/>
  <c r="AE156" i="21" s="1"/>
  <c r="AE157" i="21" s="1"/>
  <c r="AE158" i="21" s="1"/>
  <c r="AE159" i="21" s="1"/>
  <c r="AE160" i="21" s="1"/>
  <c r="AE161" i="21" s="1"/>
  <c r="AE162" i="21" s="1"/>
  <c r="AE163" i="21" s="1"/>
  <c r="AE164" i="21" s="1"/>
  <c r="AE30" i="21"/>
  <c r="Z37" i="21"/>
  <c r="F47" i="21" s="1"/>
  <c r="BP48" i="4" l="1"/>
  <c r="V2" i="9" l="1"/>
  <c r="K38" i="1"/>
  <c r="BR13" i="4" l="1"/>
  <c r="Y48" i="4" l="1"/>
  <c r="AY48" i="4"/>
  <c r="BZ42" i="4" l="1"/>
  <c r="BZ41" i="4"/>
  <c r="BP42" i="4"/>
  <c r="BP41" i="4"/>
  <c r="BF42" i="4"/>
  <c r="BF41" i="4"/>
  <c r="BD42" i="4"/>
  <c r="BD41" i="4"/>
  <c r="BB42" i="4"/>
  <c r="BB41" i="4"/>
  <c r="AZ42" i="4"/>
  <c r="AZ41" i="4"/>
  <c r="AX42" i="4"/>
  <c r="AX41" i="4"/>
  <c r="AL42" i="4"/>
  <c r="AL41" i="4"/>
  <c r="AJ42" i="4"/>
  <c r="AJ41" i="4"/>
  <c r="AF42" i="4"/>
  <c r="AF41" i="4"/>
  <c r="AD42" i="4"/>
  <c r="AD41" i="4"/>
  <c r="AB42" i="4"/>
  <c r="AB41" i="4"/>
  <c r="Z42" i="4"/>
  <c r="Z41" i="4"/>
  <c r="X42" i="4"/>
  <c r="X41" i="4"/>
  <c r="U42" i="4"/>
  <c r="U41" i="4"/>
  <c r="S42" i="4"/>
  <c r="S41" i="4"/>
  <c r="Q42" i="4"/>
  <c r="Q41" i="4"/>
  <c r="O42" i="4"/>
  <c r="O41" i="4"/>
  <c r="M42" i="4"/>
  <c r="M41" i="4"/>
  <c r="L37" i="1"/>
  <c r="K34" i="1" s="1"/>
  <c r="AL6" i="4" l="1"/>
  <c r="AL4" i="4"/>
  <c r="AJ6" i="4"/>
  <c r="AH6" i="4"/>
  <c r="AH4" i="4"/>
  <c r="J37" i="1"/>
  <c r="AJ11" i="4" s="1"/>
  <c r="K37" i="1"/>
  <c r="AL11" i="4" s="1"/>
  <c r="F48" i="1"/>
  <c r="BX8" i="4"/>
  <c r="BV8" i="4"/>
  <c r="BT8" i="4"/>
  <c r="BX13" i="4" l="1"/>
  <c r="BY42" i="4"/>
  <c r="BY41" i="4"/>
  <c r="BW41" i="4"/>
  <c r="BW43" i="4" s="1"/>
  <c r="BW42" i="4"/>
  <c r="BW44" i="4" s="1"/>
  <c r="BU41" i="4"/>
  <c r="BU43" i="4" s="1"/>
  <c r="BU42" i="4"/>
  <c r="BU44" i="4" s="1"/>
  <c r="BV13" i="4"/>
  <c r="BT13" i="4"/>
  <c r="AJ15" i="4"/>
  <c r="AL15" i="4"/>
  <c r="AJ8" i="4"/>
  <c r="AL8" i="4"/>
  <c r="BV11" i="4"/>
  <c r="BT11" i="4"/>
  <c r="I48" i="1"/>
  <c r="K48" i="1"/>
  <c r="R49" i="1"/>
  <c r="W30" i="21" l="1"/>
  <c r="Z29" i="21" s="1"/>
  <c r="F46" i="21" s="1"/>
  <c r="M13" i="22"/>
  <c r="BT14" i="4"/>
  <c r="BV14" i="4"/>
  <c r="AL13" i="4"/>
  <c r="AL14" i="4" s="1"/>
  <c r="AL18" i="4" s="1"/>
  <c r="AM42" i="4"/>
  <c r="AM44" i="4" s="1"/>
  <c r="AM41" i="4"/>
  <c r="AM43" i="4" s="1"/>
  <c r="BV15" i="4"/>
  <c r="AK41" i="4"/>
  <c r="AK42" i="4"/>
  <c r="L48" i="1"/>
  <c r="BX11" i="4" s="1"/>
  <c r="H48" i="1"/>
  <c r="BZ11" i="4"/>
  <c r="BZ8" i="4"/>
  <c r="BR14" i="4"/>
  <c r="Q48" i="1"/>
  <c r="R48" i="1"/>
  <c r="P48" i="1"/>
  <c r="O48" i="1"/>
  <c r="J48" i="1"/>
  <c r="D49" i="1"/>
  <c r="BN8" i="4" s="1"/>
  <c r="BY44" i="4" l="1"/>
  <c r="BY43" i="4"/>
  <c r="BO47" i="4"/>
  <c r="BQ47" i="4" s="1"/>
  <c r="BX14" i="4"/>
  <c r="BX15" i="4"/>
  <c r="BN13" i="4"/>
  <c r="BN14" i="4" s="1"/>
  <c r="BO42" i="4"/>
  <c r="BO43" i="4" s="1"/>
  <c r="BO41" i="4"/>
  <c r="BO44" i="4" s="1"/>
  <c r="BZ13" i="4"/>
  <c r="BZ14" i="4" s="1"/>
  <c r="CA41" i="4"/>
  <c r="CA43" i="4" s="1"/>
  <c r="CA42" i="4"/>
  <c r="CA44" i="4" s="1"/>
  <c r="BZ15" i="4"/>
  <c r="BN20" i="4" s="1"/>
  <c r="F23" i="21" s="1"/>
  <c r="G9" i="22" s="1"/>
  <c r="BK10" i="4"/>
  <c r="BL10" i="4" s="1"/>
  <c r="BI10" i="4"/>
  <c r="BJ10" i="4" s="1"/>
  <c r="BF8" i="4"/>
  <c r="BD8" i="4"/>
  <c r="BB8" i="4"/>
  <c r="AZ8" i="4"/>
  <c r="AX8" i="4"/>
  <c r="BF4" i="4"/>
  <c r="BD4" i="4"/>
  <c r="BB4" i="4"/>
  <c r="AZ4" i="4"/>
  <c r="AX4" i="4"/>
  <c r="V37" i="1"/>
  <c r="BF11" i="4" s="1"/>
  <c r="X37" i="1"/>
  <c r="X34" i="1"/>
  <c r="W34" i="1"/>
  <c r="U37" i="1"/>
  <c r="BD11" i="4" s="1"/>
  <c r="T37" i="1"/>
  <c r="BB11" i="4" s="1"/>
  <c r="S37" i="1"/>
  <c r="AZ11" i="4" s="1"/>
  <c r="R37" i="1"/>
  <c r="AX11" i="4" s="1"/>
  <c r="W37" i="1"/>
  <c r="BB15" i="4" l="1"/>
  <c r="BC42" i="4"/>
  <c r="BC44" i="4" s="1"/>
  <c r="BC41" i="4"/>
  <c r="BC43" i="4" s="1"/>
  <c r="BG42" i="4"/>
  <c r="BG41" i="4"/>
  <c r="BG43" i="4" s="1"/>
  <c r="BA41" i="4"/>
  <c r="BA43" i="4" s="1"/>
  <c r="BA42" i="4"/>
  <c r="BA44" i="4" s="1"/>
  <c r="BE41" i="4"/>
  <c r="BE43" i="4" s="1"/>
  <c r="BE42" i="4"/>
  <c r="BE44" i="4" s="1"/>
  <c r="BG44" i="4"/>
  <c r="AX15" i="4"/>
  <c r="AZ15" i="4"/>
  <c r="AY42" i="4"/>
  <c r="AY44" i="4" s="1"/>
  <c r="AY41" i="4"/>
  <c r="AY43" i="4" s="1"/>
  <c r="BD13" i="4"/>
  <c r="BD14" i="4" s="1"/>
  <c r="AX13" i="4"/>
  <c r="AX14" i="4" s="1"/>
  <c r="AX18" i="4" s="1"/>
  <c r="BF13" i="4"/>
  <c r="BF14" i="4" s="1"/>
  <c r="BF18" i="4" s="1"/>
  <c r="BD18" i="4"/>
  <c r="BD15" i="4"/>
  <c r="AX17" i="4"/>
  <c r="AD24" i="21" s="1"/>
  <c r="BB13" i="4"/>
  <c r="BB14" i="4" s="1"/>
  <c r="BB18" i="4" s="1"/>
  <c r="BF17" i="4"/>
  <c r="AH24" i="21" s="1"/>
  <c r="BD17" i="4"/>
  <c r="AG24" i="21" s="1"/>
  <c r="BJ13" i="4"/>
  <c r="BJ14" i="4" s="1"/>
  <c r="BJ42" i="4" s="1"/>
  <c r="BJ11" i="4"/>
  <c r="BL11" i="4"/>
  <c r="BL13" i="4"/>
  <c r="BL14" i="4" s="1"/>
  <c r="BL42" i="4" s="1"/>
  <c r="AZ17" i="4"/>
  <c r="AE24" i="21" s="1"/>
  <c r="AZ13" i="4"/>
  <c r="AZ14" i="4" s="1"/>
  <c r="AZ18" i="4" s="1"/>
  <c r="BF15" i="4"/>
  <c r="BB17" i="4"/>
  <c r="AF24" i="21" s="1"/>
  <c r="P34" i="1"/>
  <c r="O34" i="1"/>
  <c r="M34" i="1"/>
  <c r="P37" i="1"/>
  <c r="O37" i="1"/>
  <c r="N37" i="1"/>
  <c r="M37" i="1"/>
  <c r="H37" i="1"/>
  <c r="AF11" i="4" s="1"/>
  <c r="G37" i="1"/>
  <c r="AD11" i="4" s="1"/>
  <c r="F37" i="1"/>
  <c r="AB11" i="4" s="1"/>
  <c r="E37" i="1"/>
  <c r="Z11" i="4" s="1"/>
  <c r="D37" i="1"/>
  <c r="X11" i="4" s="1"/>
  <c r="AU10" i="4"/>
  <c r="AV10" i="4" s="1"/>
  <c r="AS10" i="4"/>
  <c r="AT10" i="4" s="1"/>
  <c r="AQ10" i="4"/>
  <c r="AR10" i="4" s="1"/>
  <c r="AO10" i="4"/>
  <c r="AP10" i="4" s="1"/>
  <c r="AF8" i="4"/>
  <c r="AD8" i="4"/>
  <c r="AB8" i="4"/>
  <c r="Z8" i="4"/>
  <c r="X8" i="4"/>
  <c r="AF4" i="4"/>
  <c r="AD4" i="4"/>
  <c r="AB4" i="4"/>
  <c r="Z4" i="4"/>
  <c r="X4" i="4"/>
  <c r="AG42" i="4" l="1"/>
  <c r="AG41" i="4"/>
  <c r="BJ41" i="4"/>
  <c r="BJ44" i="4" s="1"/>
  <c r="BJ43" i="4"/>
  <c r="AX47" i="4"/>
  <c r="AZ47" i="4" s="1"/>
  <c r="Y42" i="4"/>
  <c r="Y44" i="4" s="1"/>
  <c r="Y41" i="4"/>
  <c r="Y43" i="4" s="1"/>
  <c r="AA42" i="4"/>
  <c r="AA44" i="4" s="1"/>
  <c r="AA41" i="4"/>
  <c r="AA43" i="4" s="1"/>
  <c r="AC42" i="4"/>
  <c r="AC44" i="4" s="1"/>
  <c r="AC41" i="4"/>
  <c r="AC43" i="4" s="1"/>
  <c r="BL43" i="4"/>
  <c r="BL41" i="4"/>
  <c r="BL44" i="4" s="1"/>
  <c r="AG44" i="4"/>
  <c r="AG43" i="4"/>
  <c r="AE42" i="4"/>
  <c r="AE44" i="4" s="1"/>
  <c r="AE41" i="4"/>
  <c r="AE43" i="4" s="1"/>
  <c r="X15" i="4"/>
  <c r="Z15" i="4"/>
  <c r="BL15" i="4"/>
  <c r="BL18" i="4"/>
  <c r="BJ18" i="4"/>
  <c r="BJ15" i="4"/>
  <c r="AB15" i="4"/>
  <c r="AD15" i="4"/>
  <c r="AF15" i="4"/>
  <c r="AP13" i="4"/>
  <c r="AP14" i="4" s="1"/>
  <c r="AP42" i="4" s="1"/>
  <c r="AP11" i="4"/>
  <c r="AR13" i="4"/>
  <c r="AR14" i="4" s="1"/>
  <c r="AR42" i="4" s="1"/>
  <c r="AR11" i="4"/>
  <c r="AT11" i="4"/>
  <c r="AT13" i="4"/>
  <c r="AT14" i="4" s="1"/>
  <c r="AT42" i="4" s="1"/>
  <c r="AV11" i="4"/>
  <c r="AV13" i="4"/>
  <c r="AV14" i="4" s="1"/>
  <c r="AV42" i="4" s="1"/>
  <c r="AD13" i="4"/>
  <c r="AD14" i="4" s="1"/>
  <c r="AD18" i="4" s="1"/>
  <c r="AB13" i="4"/>
  <c r="AB14" i="4" s="1"/>
  <c r="AB18" i="4" s="1"/>
  <c r="AF17" i="4"/>
  <c r="AC24" i="21" s="1"/>
  <c r="Z13" i="4"/>
  <c r="Z14" i="4" s="1"/>
  <c r="Z18" i="4" s="1"/>
  <c r="AD17" i="4"/>
  <c r="AB24" i="21" s="1"/>
  <c r="Z17" i="4"/>
  <c r="Z24" i="21" s="1"/>
  <c r="AF13" i="4"/>
  <c r="AF14" i="4" s="1"/>
  <c r="AF18" i="4" s="1"/>
  <c r="AB17" i="4"/>
  <c r="AA24" i="21" s="1"/>
  <c r="X17" i="4"/>
  <c r="Y24" i="21" s="1"/>
  <c r="X13" i="4"/>
  <c r="X14" i="4" s="1"/>
  <c r="X18" i="4" s="1"/>
  <c r="AT41" i="4" l="1"/>
  <c r="AP43" i="4"/>
  <c r="AP41" i="4"/>
  <c r="AP44" i="4" s="1"/>
  <c r="AT43" i="4"/>
  <c r="AT44" i="4"/>
  <c r="AR41" i="4"/>
  <c r="AR44" i="4" s="1"/>
  <c r="AR43" i="4"/>
  <c r="AV43" i="4"/>
  <c r="AV41" i="4"/>
  <c r="AV44" i="4" s="1"/>
  <c r="AX19" i="4"/>
  <c r="E21" i="21" s="1"/>
  <c r="F7" i="22" s="1"/>
  <c r="AX20" i="4"/>
  <c r="E23" i="21" s="1"/>
  <c r="F9" i="22" s="1"/>
  <c r="AR18" i="4"/>
  <c r="AR15" i="4"/>
  <c r="AT18" i="4"/>
  <c r="AT15" i="4"/>
  <c r="AP18" i="4"/>
  <c r="AP15" i="4"/>
  <c r="AV18" i="4"/>
  <c r="AV15" i="4"/>
  <c r="AW45" i="4" l="1"/>
  <c r="AW46" i="4"/>
  <c r="E29" i="21"/>
  <c r="AX21" i="4"/>
  <c r="D4" i="20"/>
  <c r="C4" i="20"/>
  <c r="B4" i="20"/>
  <c r="K8" i="4"/>
  <c r="U26" i="4"/>
  <c r="U28" i="4" s="1"/>
  <c r="S26" i="4"/>
  <c r="S28" i="4" s="1"/>
  <c r="Q26" i="4"/>
  <c r="Q28" i="4" s="1"/>
  <c r="O26" i="4"/>
  <c r="O28" i="4" s="1"/>
  <c r="O8" i="4"/>
  <c r="M26" i="4"/>
  <c r="M28" i="4" s="1"/>
  <c r="X5" i="21" l="1"/>
  <c r="X6" i="21" s="1"/>
  <c r="F15" i="22"/>
  <c r="E25" i="21"/>
  <c r="F11" i="22" s="1"/>
  <c r="E31" i="21"/>
  <c r="F17" i="22" s="1"/>
  <c r="E26" i="21"/>
  <c r="F12" i="22" s="1"/>
  <c r="E32" i="21"/>
  <c r="K42" i="4"/>
  <c r="K41" i="4"/>
  <c r="P42" i="4"/>
  <c r="P41" i="4"/>
  <c r="M29" i="4"/>
  <c r="M27" i="4"/>
  <c r="AA10" i="19" a="1"/>
  <c r="Z10" i="19" a="1"/>
  <c r="Y10" i="19" a="1"/>
  <c r="X10" i="19" a="1"/>
  <c r="W10" i="19" a="1"/>
  <c r="V10" i="19" a="1"/>
  <c r="U10" i="19" a="1"/>
  <c r="T10" i="19" a="1"/>
  <c r="S10" i="19" a="1"/>
  <c r="R10" i="19" a="1"/>
  <c r="Q10" i="19" a="1"/>
  <c r="P10" i="19" a="1"/>
  <c r="O10" i="19" a="1"/>
  <c r="N10" i="19" a="1"/>
  <c r="M10" i="19" a="1"/>
  <c r="L10" i="19" a="1"/>
  <c r="K10" i="19" a="1"/>
  <c r="J10" i="19" a="1"/>
  <c r="I10" i="19" a="1"/>
  <c r="H10" i="19" a="1"/>
  <c r="G10" i="19" a="1"/>
  <c r="F10" i="19" a="1"/>
  <c r="E10" i="19" a="1"/>
  <c r="D10" i="19" a="1"/>
  <c r="C10" i="19" a="1"/>
  <c r="B10" i="19" a="1"/>
  <c r="T5" i="21" l="1"/>
  <c r="F18" i="22"/>
  <c r="T6" i="21"/>
  <c r="G10" i="19"/>
  <c r="G17" i="19"/>
  <c r="G16" i="19"/>
  <c r="G15" i="19"/>
  <c r="S10" i="19"/>
  <c r="S17" i="19"/>
  <c r="S16" i="19"/>
  <c r="S18" i="19" s="1"/>
  <c r="S20" i="19" s="1"/>
  <c r="S15" i="19"/>
  <c r="E10" i="19"/>
  <c r="E16" i="19"/>
  <c r="E15" i="19"/>
  <c r="E17" i="19"/>
  <c r="H10" i="19"/>
  <c r="H15" i="19"/>
  <c r="H17" i="19"/>
  <c r="H16" i="19"/>
  <c r="T10" i="19"/>
  <c r="T17" i="19"/>
  <c r="T15" i="19"/>
  <c r="T18" i="19" s="1"/>
  <c r="T20" i="19" s="1"/>
  <c r="T16" i="19"/>
  <c r="Q10" i="19"/>
  <c r="Q17" i="19"/>
  <c r="Q16" i="19"/>
  <c r="Q15" i="19"/>
  <c r="I10" i="19"/>
  <c r="I17" i="19"/>
  <c r="I15" i="19"/>
  <c r="I16" i="19"/>
  <c r="U10" i="19"/>
  <c r="U17" i="19"/>
  <c r="U15" i="19"/>
  <c r="U18" i="19" s="1"/>
  <c r="U20" i="19" s="1"/>
  <c r="U16" i="19"/>
  <c r="J10" i="19"/>
  <c r="J15" i="19"/>
  <c r="J16" i="19"/>
  <c r="J17" i="19"/>
  <c r="V10" i="19"/>
  <c r="V17" i="19"/>
  <c r="V15" i="19"/>
  <c r="V16" i="19"/>
  <c r="K10" i="19"/>
  <c r="K15" i="19"/>
  <c r="K17" i="19"/>
  <c r="K16" i="19"/>
  <c r="W10" i="19"/>
  <c r="W16" i="19"/>
  <c r="W15" i="19"/>
  <c r="W17" i="19"/>
  <c r="R10" i="19"/>
  <c r="R17" i="19"/>
  <c r="R15" i="19"/>
  <c r="R16" i="19"/>
  <c r="L15" i="19"/>
  <c r="L16" i="19"/>
  <c r="L17" i="19"/>
  <c r="X10" i="19"/>
  <c r="X16" i="19"/>
  <c r="X17" i="19"/>
  <c r="X15" i="19"/>
  <c r="F10" i="19"/>
  <c r="F16" i="19"/>
  <c r="F17" i="19"/>
  <c r="F15" i="19"/>
  <c r="M16" i="19"/>
  <c r="M15" i="19"/>
  <c r="M17" i="19"/>
  <c r="Y10" i="19"/>
  <c r="Y17" i="19"/>
  <c r="Y16" i="19"/>
  <c r="Y15" i="19"/>
  <c r="Y18" i="19" s="1"/>
  <c r="Y20" i="19" s="1"/>
  <c r="B15" i="19"/>
  <c r="B16" i="19"/>
  <c r="B17" i="19"/>
  <c r="N16" i="19"/>
  <c r="N17" i="19"/>
  <c r="N15" i="19"/>
  <c r="N18" i="19" s="1"/>
  <c r="Z10" i="19"/>
  <c r="Z16" i="19"/>
  <c r="Z15" i="19"/>
  <c r="Z18" i="19" s="1"/>
  <c r="Z20" i="19" s="1"/>
  <c r="Z17" i="19"/>
  <c r="O10" i="19"/>
  <c r="O15" i="19"/>
  <c r="O17" i="19"/>
  <c r="O16" i="19"/>
  <c r="AA10" i="19"/>
  <c r="AA15" i="19"/>
  <c r="AA16" i="19"/>
  <c r="AA17" i="19"/>
  <c r="P10" i="19"/>
  <c r="P15" i="19"/>
  <c r="P16" i="19"/>
  <c r="P17" i="19"/>
  <c r="L10" i="19"/>
  <c r="M10" i="19"/>
  <c r="N10" i="19"/>
  <c r="D10" i="19"/>
  <c r="D15" i="19"/>
  <c r="D17" i="19"/>
  <c r="D16" i="19"/>
  <c r="C10" i="19"/>
  <c r="C15" i="19"/>
  <c r="C16" i="19"/>
  <c r="C17" i="19"/>
  <c r="O30" i="4"/>
  <c r="M30" i="4"/>
  <c r="U30" i="4"/>
  <c r="S30" i="4"/>
  <c r="Q30" i="4"/>
  <c r="B10" i="19"/>
  <c r="G18" i="19" l="1"/>
  <c r="G20" i="19" s="1"/>
  <c r="Q18" i="19"/>
  <c r="Q20" i="19" s="1"/>
  <c r="C18" i="19"/>
  <c r="C20" i="19" s="1"/>
  <c r="B18" i="19"/>
  <c r="B20" i="19" s="1"/>
  <c r="O18" i="19"/>
  <c r="O20" i="19" s="1"/>
  <c r="X18" i="19"/>
  <c r="X20" i="19" s="1"/>
  <c r="J18" i="19"/>
  <c r="J20" i="19" s="1"/>
  <c r="K18" i="19"/>
  <c r="K20" i="19" s="1"/>
  <c r="E18" i="19"/>
  <c r="E20" i="19" s="1"/>
  <c r="M18" i="19"/>
  <c r="M20" i="19" s="1"/>
  <c r="L18" i="19"/>
  <c r="L20" i="19" s="1"/>
  <c r="W18" i="19"/>
  <c r="W20" i="19" s="1"/>
  <c r="X22" i="19" s="1"/>
  <c r="X24" i="19" s="1"/>
  <c r="D27" i="19" s="1"/>
  <c r="F18" i="19"/>
  <c r="F20" i="19" s="1"/>
  <c r="R18" i="19"/>
  <c r="R20" i="19" s="1"/>
  <c r="V18" i="19"/>
  <c r="V20" i="19" s="1"/>
  <c r="I18" i="19"/>
  <c r="I20" i="19" s="1"/>
  <c r="AA18" i="19"/>
  <c r="AA20" i="19" s="1"/>
  <c r="AA22" i="19" s="1"/>
  <c r="AA24" i="19" s="1"/>
  <c r="F27" i="19" s="1"/>
  <c r="H18" i="19"/>
  <c r="H20" i="19" s="1"/>
  <c r="P18" i="19"/>
  <c r="P20" i="19" s="1"/>
  <c r="N20" i="19"/>
  <c r="D18" i="19"/>
  <c r="D20" i="19" s="1"/>
  <c r="E7" i="15"/>
  <c r="D7" i="15"/>
  <c r="B20" i="15"/>
  <c r="B25" i="15" s="1"/>
  <c r="B16" i="15"/>
  <c r="L1" i="16"/>
  <c r="F21" i="17"/>
  <c r="F20" i="17"/>
  <c r="F19" i="17"/>
  <c r="H18" i="17"/>
  <c r="F18" i="17"/>
  <c r="F17" i="17"/>
  <c r="F16" i="17"/>
  <c r="F15" i="17"/>
  <c r="F14" i="17"/>
  <c r="F12" i="17"/>
  <c r="F11" i="17"/>
  <c r="F10" i="17"/>
  <c r="F13" i="17"/>
  <c r="F7" i="17"/>
  <c r="F6" i="17"/>
  <c r="F5" i="17"/>
  <c r="M4" i="4"/>
  <c r="U8" i="4"/>
  <c r="M8" i="4"/>
  <c r="Q8" i="4"/>
  <c r="S8" i="4"/>
  <c r="N23" i="1"/>
  <c r="H23" i="1"/>
  <c r="M23" i="1"/>
  <c r="L23" i="1"/>
  <c r="K23" i="1"/>
  <c r="J23" i="1"/>
  <c r="I23" i="1"/>
  <c r="B8" i="15"/>
  <c r="B7" i="15"/>
  <c r="I74" i="15"/>
  <c r="I75" i="15"/>
  <c r="I76" i="15"/>
  <c r="I73" i="15"/>
  <c r="I69" i="15"/>
  <c r="I70" i="15"/>
  <c r="I71" i="15"/>
  <c r="I68" i="15"/>
  <c r="I64" i="15"/>
  <c r="I65" i="15"/>
  <c r="I66" i="15"/>
  <c r="I63" i="15"/>
  <c r="I59" i="15"/>
  <c r="I60" i="15"/>
  <c r="I61" i="15"/>
  <c r="I58" i="15"/>
  <c r="I54" i="15"/>
  <c r="I55" i="15"/>
  <c r="I56" i="15"/>
  <c r="I53" i="15"/>
  <c r="I49" i="15"/>
  <c r="I50" i="15"/>
  <c r="I51" i="15"/>
  <c r="I48" i="15"/>
  <c r="I44" i="15"/>
  <c r="I45" i="15"/>
  <c r="I46" i="15"/>
  <c r="I43" i="15"/>
  <c r="I39" i="15"/>
  <c r="I40" i="15"/>
  <c r="I41" i="15"/>
  <c r="I38" i="15"/>
  <c r="I34" i="15"/>
  <c r="I35" i="15"/>
  <c r="I36" i="15"/>
  <c r="I33" i="15"/>
  <c r="I29" i="15"/>
  <c r="I30" i="15"/>
  <c r="I31" i="15"/>
  <c r="I28" i="15"/>
  <c r="I24" i="15"/>
  <c r="I25" i="15"/>
  <c r="I26" i="15"/>
  <c r="I23" i="15"/>
  <c r="I19" i="15"/>
  <c r="I20" i="15"/>
  <c r="I21" i="15"/>
  <c r="I18" i="15"/>
  <c r="I14" i="15"/>
  <c r="I15" i="15"/>
  <c r="I16" i="15"/>
  <c r="I13" i="15"/>
  <c r="I8" i="15"/>
  <c r="I9" i="15"/>
  <c r="I10" i="15"/>
  <c r="I11" i="15"/>
  <c r="A6" i="15"/>
  <c r="K22" i="19" l="1"/>
  <c r="K24" i="19" s="1"/>
  <c r="C27" i="19" s="1"/>
  <c r="F22" i="19"/>
  <c r="F24" i="19" s="1"/>
  <c r="E27" i="19" s="1"/>
  <c r="T41" i="4"/>
  <c r="T42" i="4"/>
  <c r="R42" i="4"/>
  <c r="R41" i="4"/>
  <c r="N42" i="4"/>
  <c r="N41" i="4"/>
  <c r="V41" i="4"/>
  <c r="V42" i="4"/>
  <c r="R22" i="19"/>
  <c r="R24" i="19" s="1"/>
  <c r="B27" i="19" s="1"/>
  <c r="B17" i="15"/>
  <c r="B18" i="15" s="1"/>
  <c r="B29" i="15" s="1"/>
  <c r="D29" i="15" s="1"/>
  <c r="M17" i="4"/>
  <c r="T24" i="21" s="1"/>
  <c r="B24" i="15"/>
  <c r="B23" i="15"/>
  <c r="B9" i="15" a="1"/>
  <c r="B9" i="15" s="1"/>
  <c r="B11" i="15" s="1" a="1"/>
  <c r="B11" i="15" s="1"/>
  <c r="B12" i="15" s="1" a="1"/>
  <c r="B12" i="15" s="1"/>
  <c r="I38" i="1" s="1"/>
  <c r="AH8" i="4" l="1"/>
  <c r="E11" i="15"/>
  <c r="Q24" i="1" s="1"/>
  <c r="I37" i="1"/>
  <c r="AH11" i="4" s="1"/>
  <c r="B27" i="15"/>
  <c r="D27" i="15" s="1"/>
  <c r="F27" i="15" s="1"/>
  <c r="S24" i="1" s="1"/>
  <c r="B28" i="15"/>
  <c r="D28" i="15" s="1"/>
  <c r="F28" i="15" s="1"/>
  <c r="T25" i="1" s="1"/>
  <c r="F29" i="15"/>
  <c r="U25" i="1" s="1"/>
  <c r="U24" i="1"/>
  <c r="X47" i="4" l="1"/>
  <c r="Z47" i="4" s="1"/>
  <c r="AH13" i="4"/>
  <c r="AH14" i="4" s="1"/>
  <c r="AH18" i="4" s="1"/>
  <c r="AI42" i="4"/>
  <c r="AI44" i="4" s="1"/>
  <c r="AI41" i="4"/>
  <c r="AI43" i="4" s="1"/>
  <c r="AH15" i="4"/>
  <c r="X20" i="4" s="1"/>
  <c r="D23" i="21" s="1"/>
  <c r="E9" i="22" s="1"/>
  <c r="O24" i="1"/>
  <c r="D11" i="15"/>
  <c r="P24" i="1" s="1"/>
  <c r="T24" i="1"/>
  <c r="R3" i="1"/>
  <c r="E11" i="1"/>
  <c r="E13" i="1" s="1"/>
  <c r="C11" i="1"/>
  <c r="B5" i="20" l="1" a="1"/>
  <c r="B5" i="20" s="1"/>
  <c r="F51" i="21"/>
  <c r="F6" i="21"/>
  <c r="L3" i="18"/>
  <c r="L4" i="18" s="1"/>
  <c r="L6" i="18" s="1"/>
  <c r="K3" i="18"/>
  <c r="K4" i="18" s="1"/>
  <c r="K6" i="18" s="1"/>
  <c r="W25" i="21" l="1"/>
  <c r="AH25" i="21"/>
  <c r="V25" i="21"/>
  <c r="AG25" i="21"/>
  <c r="U25" i="21"/>
  <c r="AF25" i="21"/>
  <c r="T25" i="21"/>
  <c r="AC25" i="21"/>
  <c r="AB25" i="21"/>
  <c r="Z25" i="21"/>
  <c r="AE25" i="21"/>
  <c r="AD25" i="21"/>
  <c r="AA25" i="21"/>
  <c r="Y25" i="21"/>
  <c r="X25" i="21"/>
  <c r="L8" i="18"/>
  <c r="E49" i="1"/>
  <c r="BP8" i="4" s="1"/>
  <c r="K8" i="18"/>
  <c r="B17" i="18"/>
  <c r="BP13" i="4" l="1"/>
  <c r="BP14" i="4" s="1"/>
  <c r="BN19" i="4" s="1"/>
  <c r="F21" i="21" s="1"/>
  <c r="BQ42" i="4"/>
  <c r="BQ43" i="4" s="1"/>
  <c r="BN45" i="4" s="1"/>
  <c r="BQ41" i="4"/>
  <c r="Z42" i="18"/>
  <c r="Y42" i="18"/>
  <c r="X42" i="18"/>
  <c r="W42" i="18"/>
  <c r="V42" i="18"/>
  <c r="U42" i="18"/>
  <c r="T42" i="18"/>
  <c r="S42" i="18"/>
  <c r="R42" i="18"/>
  <c r="Q42" i="18"/>
  <c r="Z40" i="18"/>
  <c r="Y40" i="18"/>
  <c r="X40" i="18"/>
  <c r="W40" i="18"/>
  <c r="V40" i="18"/>
  <c r="U40" i="18"/>
  <c r="T40" i="18"/>
  <c r="S40" i="18"/>
  <c r="R40" i="18"/>
  <c r="Q40" i="18"/>
  <c r="Z38" i="18"/>
  <c r="Y38" i="18"/>
  <c r="X38" i="18"/>
  <c r="W38" i="18"/>
  <c r="V38" i="18"/>
  <c r="U38" i="18"/>
  <c r="T38" i="18"/>
  <c r="S38" i="18"/>
  <c r="R38" i="18"/>
  <c r="Q38" i="18"/>
  <c r="Z36" i="18"/>
  <c r="Y36" i="18"/>
  <c r="X36" i="18"/>
  <c r="W36" i="18"/>
  <c r="V36" i="18"/>
  <c r="U36" i="18"/>
  <c r="T36" i="18"/>
  <c r="S36" i="18"/>
  <c r="R36" i="18"/>
  <c r="Q36" i="18"/>
  <c r="Z34" i="18"/>
  <c r="Y34" i="18"/>
  <c r="X34" i="18"/>
  <c r="W34" i="18"/>
  <c r="V34" i="18"/>
  <c r="U34" i="18"/>
  <c r="T34" i="18"/>
  <c r="S34" i="18"/>
  <c r="R34" i="18"/>
  <c r="Q34" i="18"/>
  <c r="Z32" i="18"/>
  <c r="Y32" i="18"/>
  <c r="X32" i="18"/>
  <c r="W32" i="18"/>
  <c r="V32" i="18"/>
  <c r="U32" i="18"/>
  <c r="T32" i="18"/>
  <c r="S32" i="18"/>
  <c r="R32" i="18"/>
  <c r="Q32" i="18"/>
  <c r="Z30" i="18"/>
  <c r="Y30" i="18"/>
  <c r="X30" i="18"/>
  <c r="W30" i="18"/>
  <c r="V30" i="18"/>
  <c r="U30" i="18"/>
  <c r="T30" i="18"/>
  <c r="S30" i="18"/>
  <c r="R30" i="18"/>
  <c r="Q30" i="18"/>
  <c r="Z26" i="18"/>
  <c r="Y26" i="18"/>
  <c r="X26" i="18"/>
  <c r="W26" i="18"/>
  <c r="V26" i="18"/>
  <c r="U26" i="18"/>
  <c r="T26" i="18"/>
  <c r="S26" i="18"/>
  <c r="R26" i="18"/>
  <c r="Q26" i="18"/>
  <c r="Z24" i="18"/>
  <c r="Y24" i="18"/>
  <c r="X24" i="18"/>
  <c r="W24" i="18"/>
  <c r="V24" i="18"/>
  <c r="U24" i="18"/>
  <c r="T24" i="18"/>
  <c r="S24" i="18"/>
  <c r="R24" i="18"/>
  <c r="Q24" i="18"/>
  <c r="F29" i="21" l="1"/>
  <c r="G7" i="22"/>
  <c r="BN21" i="4"/>
  <c r="BQ44" i="4"/>
  <c r="BN46" i="4" s="1"/>
  <c r="L13" i="18"/>
  <c r="L12" i="18"/>
  <c r="L9" i="18" s="1"/>
  <c r="G15" i="22" l="1"/>
  <c r="W5" i="21"/>
  <c r="F32" i="21"/>
  <c r="F26" i="21"/>
  <c r="G12" i="22" s="1"/>
  <c r="F31" i="21"/>
  <c r="F25" i="21"/>
  <c r="G11" i="22" s="1"/>
  <c r="L20" i="18"/>
  <c r="L15" i="18"/>
  <c r="L10" i="18" s="1"/>
  <c r="L16" i="18"/>
  <c r="K13" i="18"/>
  <c r="K12" i="18"/>
  <c r="K9" i="18" s="1"/>
  <c r="W6" i="21" l="1"/>
  <c r="U6" i="21"/>
  <c r="G17" i="22"/>
  <c r="U5" i="21"/>
  <c r="G18" i="22"/>
  <c r="L5" i="18"/>
  <c r="L33" i="18" s="1"/>
  <c r="L38" i="18" s="1"/>
  <c r="L39" i="18" s="1"/>
  <c r="K20" i="18"/>
  <c r="K21" i="18" s="1"/>
  <c r="K15" i="18"/>
  <c r="K10" i="18" s="1"/>
  <c r="K16" i="18"/>
  <c r="R27" i="1" l="1" a="1"/>
  <c r="R27" i="1" s="1"/>
  <c r="AJ4" i="4" s="1"/>
  <c r="OS3" i="16"/>
  <c r="OT3" i="16"/>
  <c r="OU3" i="16"/>
  <c r="OV3" i="16"/>
  <c r="OW3" i="16"/>
  <c r="OX3" i="16"/>
  <c r="OY3" i="16"/>
  <c r="OZ3" i="16"/>
  <c r="PA3" i="16"/>
  <c r="PB3" i="16"/>
  <c r="PC3" i="16"/>
  <c r="PD3" i="16"/>
  <c r="PE3" i="16"/>
  <c r="PF3" i="16"/>
  <c r="PG3" i="16"/>
  <c r="PH3" i="16"/>
  <c r="PI3" i="16"/>
  <c r="PJ3" i="16"/>
  <c r="PK3" i="16"/>
  <c r="PL3" i="16"/>
  <c r="PM3" i="16"/>
  <c r="PN3" i="16"/>
  <c r="PO3" i="16"/>
  <c r="PP3" i="16"/>
  <c r="PQ3" i="16"/>
  <c r="PR3" i="16"/>
  <c r="PS3" i="16"/>
  <c r="PT3" i="16"/>
  <c r="PU3" i="16"/>
  <c r="PV3" i="16"/>
  <c r="PW3" i="16"/>
  <c r="PX3" i="16"/>
  <c r="PY3" i="16"/>
  <c r="PZ3" i="16"/>
  <c r="QA3" i="16"/>
  <c r="QB3" i="16"/>
  <c r="QC3" i="16"/>
  <c r="QD3" i="16"/>
  <c r="QE3" i="16"/>
  <c r="QF3" i="16"/>
  <c r="QG3" i="16"/>
  <c r="QH3" i="16"/>
  <c r="QI3" i="16"/>
  <c r="QJ3" i="16"/>
  <c r="QK3" i="16"/>
  <c r="QL3" i="16"/>
  <c r="QM3" i="16"/>
  <c r="QN3" i="16"/>
  <c r="QO3" i="16"/>
  <c r="QP3" i="16"/>
  <c r="QQ3" i="16"/>
  <c r="QR3" i="16"/>
  <c r="QS3" i="16"/>
  <c r="QT3" i="16"/>
  <c r="QU3" i="16"/>
  <c r="QV3" i="16"/>
  <c r="QW3" i="16"/>
  <c r="QX3" i="16"/>
  <c r="QY3" i="16"/>
  <c r="QZ3" i="16"/>
  <c r="RA3" i="16"/>
  <c r="RB3" i="16"/>
  <c r="RC3" i="16"/>
  <c r="RD3" i="16"/>
  <c r="RE3" i="16"/>
  <c r="RF3" i="16"/>
  <c r="RG3" i="16"/>
  <c r="RH3" i="16"/>
  <c r="RI3" i="16"/>
  <c r="RJ3" i="16"/>
  <c r="RK3" i="16"/>
  <c r="RL3" i="16"/>
  <c r="RM3" i="16"/>
  <c r="RN3" i="16"/>
  <c r="RO3" i="16"/>
  <c r="RP3" i="16"/>
  <c r="RQ3" i="16"/>
  <c r="RR3" i="16"/>
  <c r="RS3" i="16"/>
  <c r="RT3" i="16"/>
  <c r="RU3" i="16"/>
  <c r="RV3" i="16"/>
  <c r="RW3" i="16"/>
  <c r="RX3" i="16"/>
  <c r="RY3" i="16"/>
  <c r="RZ3" i="16"/>
  <c r="SA3" i="16"/>
  <c r="SB3" i="16"/>
  <c r="SC3" i="16"/>
  <c r="SD3" i="16"/>
  <c r="SE3" i="16"/>
  <c r="SF3" i="16"/>
  <c r="SG3" i="16"/>
  <c r="SH3" i="16"/>
  <c r="SI3" i="16"/>
  <c r="SJ3" i="16"/>
  <c r="SK3" i="16"/>
  <c r="SL3" i="16"/>
  <c r="SM3" i="16"/>
  <c r="SN3" i="16"/>
  <c r="SO3" i="16"/>
  <c r="SP3" i="16"/>
  <c r="SQ3" i="16"/>
  <c r="SR3" i="16"/>
  <c r="SS3" i="16"/>
  <c r="ST3" i="16"/>
  <c r="SU3" i="16"/>
  <c r="SV3" i="16"/>
  <c r="SW3" i="16"/>
  <c r="SX3" i="16"/>
  <c r="SY3" i="16"/>
  <c r="SZ3" i="16"/>
  <c r="TA3" i="16"/>
  <c r="TB3" i="16"/>
  <c r="TC3" i="16"/>
  <c r="TD3" i="16"/>
  <c r="TE3" i="16"/>
  <c r="TF3" i="16"/>
  <c r="TG3" i="16"/>
  <c r="TH3" i="16"/>
  <c r="TI3" i="16"/>
  <c r="TJ3" i="16"/>
  <c r="TK3" i="16"/>
  <c r="TL3" i="16"/>
  <c r="TM3" i="16"/>
  <c r="TN3" i="16"/>
  <c r="TO3" i="16"/>
  <c r="TP3" i="16"/>
  <c r="TQ3" i="16"/>
  <c r="TR3" i="16"/>
  <c r="TS3" i="16"/>
  <c r="TT3" i="16"/>
  <c r="TU3" i="16"/>
  <c r="TV3" i="16"/>
  <c r="TW3" i="16"/>
  <c r="TX3" i="16"/>
  <c r="TY3" i="16"/>
  <c r="TZ3" i="16"/>
  <c r="UA3" i="16"/>
  <c r="UB3" i="16"/>
  <c r="UC3" i="16"/>
  <c r="UD3" i="16"/>
  <c r="UE3" i="16"/>
  <c r="UF3" i="16"/>
  <c r="UG3" i="16"/>
  <c r="UH3" i="16"/>
  <c r="UI3" i="16"/>
  <c r="UJ3" i="16"/>
  <c r="UK3" i="16"/>
  <c r="UL3" i="16"/>
  <c r="UM3" i="16"/>
  <c r="UN3" i="16"/>
  <c r="UO3" i="16"/>
  <c r="UP3" i="16"/>
  <c r="UQ3" i="16"/>
  <c r="UR3" i="16"/>
  <c r="US3" i="16"/>
  <c r="UT3" i="16"/>
  <c r="OS4" i="16"/>
  <c r="OT4" i="16"/>
  <c r="OU4" i="16"/>
  <c r="OV4" i="16"/>
  <c r="OW4" i="16"/>
  <c r="OX4" i="16"/>
  <c r="OY4" i="16"/>
  <c r="OZ4" i="16"/>
  <c r="PA4" i="16"/>
  <c r="PB4" i="16"/>
  <c r="PC4" i="16"/>
  <c r="PD4" i="16"/>
  <c r="PE4" i="16"/>
  <c r="PF4" i="16"/>
  <c r="PG4" i="16"/>
  <c r="PH4" i="16"/>
  <c r="PI4" i="16"/>
  <c r="PJ4" i="16"/>
  <c r="PK4" i="16"/>
  <c r="PL4" i="16"/>
  <c r="PM4" i="16"/>
  <c r="PN4" i="16"/>
  <c r="PO4" i="16"/>
  <c r="PP4" i="16"/>
  <c r="PQ4" i="16"/>
  <c r="PR4" i="16"/>
  <c r="PS4" i="16"/>
  <c r="PT4" i="16"/>
  <c r="PU4" i="16"/>
  <c r="PV4" i="16"/>
  <c r="PW4" i="16"/>
  <c r="PX4" i="16"/>
  <c r="PY4" i="16"/>
  <c r="PZ4" i="16"/>
  <c r="QA4" i="16"/>
  <c r="QB4" i="16"/>
  <c r="QC4" i="16"/>
  <c r="QD4" i="16"/>
  <c r="QE4" i="16"/>
  <c r="QF4" i="16"/>
  <c r="QG4" i="16"/>
  <c r="QH4" i="16"/>
  <c r="QI4" i="16"/>
  <c r="QJ4" i="16"/>
  <c r="QK4" i="16"/>
  <c r="QL4" i="16"/>
  <c r="QM4" i="16"/>
  <c r="QN4" i="16"/>
  <c r="QO4" i="16"/>
  <c r="QP4" i="16"/>
  <c r="QQ4" i="16"/>
  <c r="QR4" i="16"/>
  <c r="QS4" i="16"/>
  <c r="QT4" i="16"/>
  <c r="QU4" i="16"/>
  <c r="QV4" i="16"/>
  <c r="QW4" i="16"/>
  <c r="QX4" i="16"/>
  <c r="QY4" i="16"/>
  <c r="QZ4" i="16"/>
  <c r="RA4" i="16"/>
  <c r="RB4" i="16"/>
  <c r="RC4" i="16"/>
  <c r="RD4" i="16"/>
  <c r="RE4" i="16"/>
  <c r="RF4" i="16"/>
  <c r="RG4" i="16"/>
  <c r="RH4" i="16"/>
  <c r="RI4" i="16"/>
  <c r="RJ4" i="16"/>
  <c r="RK4" i="16"/>
  <c r="RL4" i="16"/>
  <c r="RM4" i="16"/>
  <c r="RN4" i="16"/>
  <c r="RO4" i="16"/>
  <c r="RP4" i="16"/>
  <c r="RQ4" i="16"/>
  <c r="RR4" i="16"/>
  <c r="RS4" i="16"/>
  <c r="RT4" i="16"/>
  <c r="RU4" i="16"/>
  <c r="RV4" i="16"/>
  <c r="RW4" i="16"/>
  <c r="RX4" i="16"/>
  <c r="RY4" i="16"/>
  <c r="RZ4" i="16"/>
  <c r="SA4" i="16"/>
  <c r="SB4" i="16"/>
  <c r="SC4" i="16"/>
  <c r="SD4" i="16"/>
  <c r="SE4" i="16"/>
  <c r="SF4" i="16"/>
  <c r="SG4" i="16"/>
  <c r="SH4" i="16"/>
  <c r="SI4" i="16"/>
  <c r="SJ4" i="16"/>
  <c r="SK4" i="16"/>
  <c r="SL4" i="16"/>
  <c r="SM4" i="16"/>
  <c r="SN4" i="16"/>
  <c r="SO4" i="16"/>
  <c r="SP4" i="16"/>
  <c r="SQ4" i="16"/>
  <c r="SR4" i="16"/>
  <c r="SS4" i="16"/>
  <c r="ST4" i="16"/>
  <c r="SU4" i="16"/>
  <c r="SV4" i="16"/>
  <c r="SW4" i="16"/>
  <c r="SX4" i="16"/>
  <c r="SY4" i="16"/>
  <c r="SZ4" i="16"/>
  <c r="TA4" i="16"/>
  <c r="TB4" i="16"/>
  <c r="TC4" i="16"/>
  <c r="TD4" i="16"/>
  <c r="TE4" i="16"/>
  <c r="TF4" i="16"/>
  <c r="TG4" i="16"/>
  <c r="TH4" i="16"/>
  <c r="TI4" i="16"/>
  <c r="TJ4" i="16"/>
  <c r="TK4" i="16"/>
  <c r="TL4" i="16"/>
  <c r="TM4" i="16"/>
  <c r="TN4" i="16"/>
  <c r="TO4" i="16"/>
  <c r="TP4" i="16"/>
  <c r="TQ4" i="16"/>
  <c r="TR4" i="16"/>
  <c r="TS4" i="16"/>
  <c r="TT4" i="16"/>
  <c r="TU4" i="16"/>
  <c r="TV4" i="16"/>
  <c r="TW4" i="16"/>
  <c r="TX4" i="16"/>
  <c r="TY4" i="16"/>
  <c r="TZ4" i="16"/>
  <c r="UA4" i="16"/>
  <c r="UB4" i="16"/>
  <c r="UC4" i="16"/>
  <c r="UD4" i="16"/>
  <c r="UE4" i="16"/>
  <c r="UF4" i="16"/>
  <c r="UG4" i="16"/>
  <c r="UH4" i="16"/>
  <c r="UI4" i="16"/>
  <c r="UJ4" i="16"/>
  <c r="UK4" i="16"/>
  <c r="UL4" i="16"/>
  <c r="UM4" i="16"/>
  <c r="UN4" i="16"/>
  <c r="UO4" i="16"/>
  <c r="UP4" i="16"/>
  <c r="UQ4" i="16"/>
  <c r="UR4" i="16"/>
  <c r="US4" i="16"/>
  <c r="UT4" i="16"/>
  <c r="BJ3" i="16"/>
  <c r="BK3" i="16"/>
  <c r="BL3" i="16"/>
  <c r="BM3" i="16"/>
  <c r="BN3" i="16"/>
  <c r="BO3" i="16"/>
  <c r="BP3" i="16"/>
  <c r="BQ3" i="16"/>
  <c r="BR3" i="16"/>
  <c r="BS3" i="16"/>
  <c r="BT3" i="16"/>
  <c r="BU3" i="16"/>
  <c r="BV3" i="16"/>
  <c r="BW3" i="16"/>
  <c r="BX3" i="16"/>
  <c r="BY3" i="16"/>
  <c r="BZ3" i="16"/>
  <c r="CA3" i="16"/>
  <c r="CB3" i="16"/>
  <c r="CC3" i="16"/>
  <c r="CD3" i="16"/>
  <c r="CE3" i="16"/>
  <c r="CF3" i="16"/>
  <c r="CG3" i="16"/>
  <c r="CH3" i="16"/>
  <c r="CI3" i="16"/>
  <c r="CJ3" i="16"/>
  <c r="CK3" i="16"/>
  <c r="CL3" i="16"/>
  <c r="CM3" i="16"/>
  <c r="CN3" i="16"/>
  <c r="CO3" i="16"/>
  <c r="CP3" i="16"/>
  <c r="CQ3" i="16"/>
  <c r="CR3" i="16"/>
  <c r="CS3" i="16"/>
  <c r="CT3" i="16"/>
  <c r="CU3" i="16"/>
  <c r="CV3" i="16"/>
  <c r="CW3" i="16"/>
  <c r="CX3" i="16"/>
  <c r="CY3" i="16"/>
  <c r="CZ3" i="16"/>
  <c r="DA3" i="16"/>
  <c r="DB3" i="16"/>
  <c r="DC3" i="16"/>
  <c r="DD3" i="16"/>
  <c r="DE3" i="16"/>
  <c r="DF3" i="16"/>
  <c r="DG3" i="16"/>
  <c r="DH3" i="16"/>
  <c r="DI3" i="16"/>
  <c r="DJ3" i="16"/>
  <c r="DK3" i="16"/>
  <c r="DL3" i="16"/>
  <c r="DM3" i="16"/>
  <c r="DN3" i="16"/>
  <c r="DO3" i="16"/>
  <c r="DP3" i="16"/>
  <c r="DQ3" i="16"/>
  <c r="DR3" i="16"/>
  <c r="DS3" i="16"/>
  <c r="DT3" i="16"/>
  <c r="DU3" i="16"/>
  <c r="DV3" i="16"/>
  <c r="DW3" i="16"/>
  <c r="DX3" i="16"/>
  <c r="DY3" i="16"/>
  <c r="DZ3" i="16"/>
  <c r="EA3" i="16"/>
  <c r="EB3" i="16"/>
  <c r="EC3" i="16"/>
  <c r="ED3" i="16"/>
  <c r="EE3" i="16"/>
  <c r="EF3" i="16"/>
  <c r="EG3" i="16"/>
  <c r="EH3" i="16"/>
  <c r="EI3" i="16"/>
  <c r="EJ3" i="16"/>
  <c r="EK3" i="16"/>
  <c r="EL3" i="16"/>
  <c r="EM3" i="16"/>
  <c r="EN3" i="16"/>
  <c r="EO3" i="16"/>
  <c r="EP3" i="16"/>
  <c r="EQ3" i="16"/>
  <c r="ER3" i="16"/>
  <c r="ES3" i="16"/>
  <c r="ET3" i="16"/>
  <c r="EU3" i="16"/>
  <c r="EV3" i="16"/>
  <c r="EW3" i="16"/>
  <c r="EX3" i="16"/>
  <c r="EY3" i="16"/>
  <c r="EZ3" i="16"/>
  <c r="FA3" i="16"/>
  <c r="FB3" i="16"/>
  <c r="FC3" i="16"/>
  <c r="FD3" i="16"/>
  <c r="FE3" i="16"/>
  <c r="FF3" i="16"/>
  <c r="FG3" i="16"/>
  <c r="FH3" i="16"/>
  <c r="FI3" i="16"/>
  <c r="FJ3" i="16"/>
  <c r="FK3" i="16"/>
  <c r="FL3" i="16"/>
  <c r="FM3" i="16"/>
  <c r="FN3" i="16"/>
  <c r="FO3" i="16"/>
  <c r="FP3" i="16"/>
  <c r="FQ3" i="16"/>
  <c r="FR3" i="16"/>
  <c r="FS3" i="16"/>
  <c r="FT3" i="16"/>
  <c r="FU3" i="16"/>
  <c r="FV3" i="16"/>
  <c r="FW3" i="16"/>
  <c r="FX3" i="16"/>
  <c r="FY3" i="16"/>
  <c r="FZ3" i="16"/>
  <c r="GA3" i="16"/>
  <c r="GB3" i="16"/>
  <c r="GC3" i="16"/>
  <c r="GD3" i="16"/>
  <c r="GE3" i="16"/>
  <c r="GF3" i="16"/>
  <c r="GG3" i="16"/>
  <c r="GH3" i="16"/>
  <c r="GI3" i="16"/>
  <c r="GJ3" i="16"/>
  <c r="GK3" i="16"/>
  <c r="GL3" i="16"/>
  <c r="GM3" i="16"/>
  <c r="GN3" i="16"/>
  <c r="GO3" i="16"/>
  <c r="GP3" i="16"/>
  <c r="GQ3" i="16"/>
  <c r="GR3" i="16"/>
  <c r="GS3" i="16"/>
  <c r="GT3" i="16"/>
  <c r="GU3" i="16"/>
  <c r="GV3" i="16"/>
  <c r="GW3" i="16"/>
  <c r="GX3" i="16"/>
  <c r="GY3" i="16"/>
  <c r="GZ3" i="16"/>
  <c r="HA3" i="16"/>
  <c r="HB3" i="16"/>
  <c r="HC3" i="16"/>
  <c r="HD3" i="16"/>
  <c r="HE3" i="16"/>
  <c r="HF3" i="16"/>
  <c r="HG3" i="16"/>
  <c r="HH3" i="16"/>
  <c r="HI3" i="16"/>
  <c r="HJ3" i="16"/>
  <c r="HK3" i="16"/>
  <c r="HL3" i="16"/>
  <c r="HM3" i="16"/>
  <c r="HN3" i="16"/>
  <c r="HO3" i="16"/>
  <c r="HP3" i="16"/>
  <c r="HQ3" i="16"/>
  <c r="HR3" i="16"/>
  <c r="HS3" i="16"/>
  <c r="HT3" i="16"/>
  <c r="HU3" i="16"/>
  <c r="HV3" i="16"/>
  <c r="HW3" i="16"/>
  <c r="HX3" i="16"/>
  <c r="HY3" i="16"/>
  <c r="HZ3" i="16"/>
  <c r="IA3" i="16"/>
  <c r="IB3" i="16"/>
  <c r="IC3" i="16"/>
  <c r="ID3" i="16"/>
  <c r="IE3" i="16"/>
  <c r="IF3" i="16"/>
  <c r="IG3" i="16"/>
  <c r="IH3" i="16"/>
  <c r="II3" i="16"/>
  <c r="IJ3" i="16"/>
  <c r="IK3" i="16"/>
  <c r="IL3" i="16"/>
  <c r="IM3" i="16"/>
  <c r="IN3" i="16"/>
  <c r="IO3" i="16"/>
  <c r="IP3" i="16"/>
  <c r="IQ3" i="16"/>
  <c r="IR3" i="16"/>
  <c r="IS3" i="16"/>
  <c r="IT3" i="16"/>
  <c r="IU3" i="16"/>
  <c r="IV3" i="16"/>
  <c r="IW3" i="16"/>
  <c r="IX3" i="16"/>
  <c r="IY3" i="16"/>
  <c r="IZ3" i="16"/>
  <c r="JA3" i="16"/>
  <c r="JB3" i="16"/>
  <c r="JC3" i="16"/>
  <c r="JD3" i="16"/>
  <c r="JE3" i="16"/>
  <c r="JF3" i="16"/>
  <c r="JG3" i="16"/>
  <c r="JH3" i="16"/>
  <c r="JI3" i="16"/>
  <c r="JJ3" i="16"/>
  <c r="JK3" i="16"/>
  <c r="JL3" i="16"/>
  <c r="JM3" i="16"/>
  <c r="JN3" i="16"/>
  <c r="JO3" i="16"/>
  <c r="JP3" i="16"/>
  <c r="JQ3" i="16"/>
  <c r="JR3" i="16"/>
  <c r="JS3" i="16"/>
  <c r="JT3" i="16"/>
  <c r="JU3" i="16"/>
  <c r="JV3" i="16"/>
  <c r="JW3" i="16"/>
  <c r="JX3" i="16"/>
  <c r="JY3" i="16"/>
  <c r="JZ3" i="16"/>
  <c r="KA3" i="16"/>
  <c r="KB3" i="16"/>
  <c r="KC3" i="16"/>
  <c r="KD3" i="16"/>
  <c r="KE3" i="16"/>
  <c r="KF3" i="16"/>
  <c r="KG3" i="16"/>
  <c r="KH3" i="16"/>
  <c r="KI3" i="16"/>
  <c r="KJ3" i="16"/>
  <c r="KK3" i="16"/>
  <c r="KL3" i="16"/>
  <c r="KM3" i="16"/>
  <c r="KN3" i="16"/>
  <c r="KO3" i="16"/>
  <c r="KP3" i="16"/>
  <c r="KQ3" i="16"/>
  <c r="KR3" i="16"/>
  <c r="KS3" i="16"/>
  <c r="KT3" i="16"/>
  <c r="KU3" i="16"/>
  <c r="KV3" i="16"/>
  <c r="KW3" i="16"/>
  <c r="KX3" i="16"/>
  <c r="KY3" i="16"/>
  <c r="KZ3" i="16"/>
  <c r="LA3" i="16"/>
  <c r="LB3" i="16"/>
  <c r="LC3" i="16"/>
  <c r="LD3" i="16"/>
  <c r="LE3" i="16"/>
  <c r="LF3" i="16"/>
  <c r="LG3" i="16"/>
  <c r="LH3" i="16"/>
  <c r="LI3" i="16"/>
  <c r="LJ3" i="16"/>
  <c r="LK3" i="16"/>
  <c r="LL3" i="16"/>
  <c r="LM3" i="16"/>
  <c r="LN3" i="16"/>
  <c r="LO3" i="16"/>
  <c r="LP3" i="16"/>
  <c r="LQ3" i="16"/>
  <c r="LR3" i="16"/>
  <c r="LS3" i="16"/>
  <c r="LT3" i="16"/>
  <c r="LU3" i="16"/>
  <c r="LV3" i="16"/>
  <c r="LW3" i="16"/>
  <c r="LX3" i="16"/>
  <c r="LY3" i="16"/>
  <c r="LZ3" i="16"/>
  <c r="MA3" i="16"/>
  <c r="MB3" i="16"/>
  <c r="MC3" i="16"/>
  <c r="MD3" i="16"/>
  <c r="ME3" i="16"/>
  <c r="MF3" i="16"/>
  <c r="MG3" i="16"/>
  <c r="MH3" i="16"/>
  <c r="MI3" i="16"/>
  <c r="MJ3" i="16"/>
  <c r="MK3" i="16"/>
  <c r="ML3" i="16"/>
  <c r="MM3" i="16"/>
  <c r="MN3" i="16"/>
  <c r="MO3" i="16"/>
  <c r="MP3" i="16"/>
  <c r="MQ3" i="16"/>
  <c r="MR3" i="16"/>
  <c r="MS3" i="16"/>
  <c r="MT3" i="16"/>
  <c r="MU3" i="16"/>
  <c r="MV3" i="16"/>
  <c r="MW3" i="16"/>
  <c r="MX3" i="16"/>
  <c r="MY3" i="16"/>
  <c r="MZ3" i="16"/>
  <c r="NA3" i="16"/>
  <c r="NB3" i="16"/>
  <c r="NC3" i="16"/>
  <c r="ND3" i="16"/>
  <c r="NE3" i="16"/>
  <c r="NF3" i="16"/>
  <c r="NG3" i="16"/>
  <c r="NH3" i="16"/>
  <c r="NI3" i="16"/>
  <c r="NJ3" i="16"/>
  <c r="NK3" i="16"/>
  <c r="NL3" i="16"/>
  <c r="NM3" i="16"/>
  <c r="NN3" i="16"/>
  <c r="NO3" i="16"/>
  <c r="NP3" i="16"/>
  <c r="NQ3" i="16"/>
  <c r="NR3" i="16"/>
  <c r="NS3" i="16"/>
  <c r="NT3" i="16"/>
  <c r="NU3" i="16"/>
  <c r="NV3" i="16"/>
  <c r="NW3" i="16"/>
  <c r="NX3" i="16"/>
  <c r="NY3" i="16"/>
  <c r="NZ3" i="16"/>
  <c r="OA3" i="16"/>
  <c r="OB3" i="16"/>
  <c r="OC3" i="16"/>
  <c r="OD3" i="16"/>
  <c r="OE3" i="16"/>
  <c r="OF3" i="16"/>
  <c r="OG3" i="16"/>
  <c r="OH3" i="16"/>
  <c r="OI3" i="16"/>
  <c r="OJ3" i="16"/>
  <c r="OK3" i="16"/>
  <c r="OL3" i="16"/>
  <c r="OM3" i="16"/>
  <c r="ON3" i="16"/>
  <c r="OO3" i="16"/>
  <c r="OP3" i="16"/>
  <c r="OQ3" i="16"/>
  <c r="OR3" i="16"/>
  <c r="BJ4" i="16"/>
  <c r="BK4" i="16"/>
  <c r="BL4" i="16"/>
  <c r="BM4" i="16"/>
  <c r="BN4" i="16"/>
  <c r="BO4" i="16"/>
  <c r="BP4" i="16"/>
  <c r="BQ4" i="16"/>
  <c r="BR4" i="16"/>
  <c r="BS4" i="16"/>
  <c r="BT4" i="16"/>
  <c r="BU4" i="16"/>
  <c r="BV4" i="16"/>
  <c r="BW4" i="16"/>
  <c r="BX4" i="16"/>
  <c r="BY4" i="16"/>
  <c r="BZ4" i="16"/>
  <c r="CA4" i="16"/>
  <c r="CB4" i="16"/>
  <c r="CC4" i="16"/>
  <c r="CD4" i="16"/>
  <c r="CE4" i="16"/>
  <c r="CF4" i="16"/>
  <c r="CG4" i="16"/>
  <c r="CH4" i="16"/>
  <c r="CI4" i="16"/>
  <c r="CJ4" i="16"/>
  <c r="CK4" i="16"/>
  <c r="CL4" i="16"/>
  <c r="CM4" i="16"/>
  <c r="CN4" i="16"/>
  <c r="CO4" i="16"/>
  <c r="CP4" i="16"/>
  <c r="CQ4" i="16"/>
  <c r="CR4" i="16"/>
  <c r="CS4" i="16"/>
  <c r="CT4" i="16"/>
  <c r="CU4" i="16"/>
  <c r="CV4" i="16"/>
  <c r="CW4" i="16"/>
  <c r="CX4" i="16"/>
  <c r="CY4" i="16"/>
  <c r="CZ4" i="16"/>
  <c r="DA4" i="16"/>
  <c r="DB4" i="16"/>
  <c r="DC4" i="16"/>
  <c r="DD4" i="16"/>
  <c r="DE4" i="16"/>
  <c r="DF4" i="16"/>
  <c r="DG4" i="16"/>
  <c r="DH4" i="16"/>
  <c r="DI4" i="16"/>
  <c r="DJ4" i="16"/>
  <c r="DK4" i="16"/>
  <c r="DL4" i="16"/>
  <c r="DM4" i="16"/>
  <c r="DN4" i="16"/>
  <c r="DO4" i="16"/>
  <c r="DP4" i="16"/>
  <c r="DQ4" i="16"/>
  <c r="DR4" i="16"/>
  <c r="DS4" i="16"/>
  <c r="DT4" i="16"/>
  <c r="DU4" i="16"/>
  <c r="DV4" i="16"/>
  <c r="DW4" i="16"/>
  <c r="DX4" i="16"/>
  <c r="DY4" i="16"/>
  <c r="DZ4" i="16"/>
  <c r="EA4" i="16"/>
  <c r="EB4" i="16"/>
  <c r="EC4" i="16"/>
  <c r="ED4" i="16"/>
  <c r="EE4" i="16"/>
  <c r="EF4" i="16"/>
  <c r="EG4" i="16"/>
  <c r="EH4" i="16"/>
  <c r="EI4" i="16"/>
  <c r="EJ4" i="16"/>
  <c r="EK4" i="16"/>
  <c r="EL4" i="16"/>
  <c r="EM4" i="16"/>
  <c r="EN4" i="16"/>
  <c r="EO4" i="16"/>
  <c r="EP4" i="16"/>
  <c r="EQ4" i="16"/>
  <c r="ER4" i="16"/>
  <c r="ES4" i="16"/>
  <c r="ET4" i="16"/>
  <c r="EU4" i="16"/>
  <c r="EV4" i="16"/>
  <c r="EW4" i="16"/>
  <c r="EX4" i="16"/>
  <c r="EY4" i="16"/>
  <c r="EZ4" i="16"/>
  <c r="FA4" i="16"/>
  <c r="FB4" i="16"/>
  <c r="FC4" i="16"/>
  <c r="FD4" i="16"/>
  <c r="FE4" i="16"/>
  <c r="FF4" i="16"/>
  <c r="FG4" i="16"/>
  <c r="FH4" i="16"/>
  <c r="FI4" i="16"/>
  <c r="FJ4" i="16"/>
  <c r="FK4" i="16"/>
  <c r="FL4" i="16"/>
  <c r="FM4" i="16"/>
  <c r="FN4" i="16"/>
  <c r="FO4" i="16"/>
  <c r="FP4" i="16"/>
  <c r="FQ4" i="16"/>
  <c r="FR4" i="16"/>
  <c r="FS4" i="16"/>
  <c r="FT4" i="16"/>
  <c r="FU4" i="16"/>
  <c r="FV4" i="16"/>
  <c r="FW4" i="16"/>
  <c r="FX4" i="16"/>
  <c r="FY4" i="16"/>
  <c r="FZ4" i="16"/>
  <c r="GA4" i="16"/>
  <c r="GB4" i="16"/>
  <c r="GC4" i="16"/>
  <c r="GD4" i="16"/>
  <c r="GE4" i="16"/>
  <c r="GF4" i="16"/>
  <c r="GG4" i="16"/>
  <c r="GH4" i="16"/>
  <c r="GI4" i="16"/>
  <c r="GJ4" i="16"/>
  <c r="GK4" i="16"/>
  <c r="GL4" i="16"/>
  <c r="GM4" i="16"/>
  <c r="GN4" i="16"/>
  <c r="GO4" i="16"/>
  <c r="GP4" i="16"/>
  <c r="GQ4" i="16"/>
  <c r="GR4" i="16"/>
  <c r="GS4" i="16"/>
  <c r="GT4" i="16"/>
  <c r="GU4" i="16"/>
  <c r="GV4" i="16"/>
  <c r="GW4" i="16"/>
  <c r="GX4" i="16"/>
  <c r="GY4" i="16"/>
  <c r="GZ4" i="16"/>
  <c r="HA4" i="16"/>
  <c r="HB4" i="16"/>
  <c r="HC4" i="16"/>
  <c r="HD4" i="16"/>
  <c r="HE4" i="16"/>
  <c r="HF4" i="16"/>
  <c r="HG4" i="16"/>
  <c r="HH4" i="16"/>
  <c r="HI4" i="16"/>
  <c r="HJ4" i="16"/>
  <c r="HK4" i="16"/>
  <c r="HL4" i="16"/>
  <c r="HM4" i="16"/>
  <c r="HN4" i="16"/>
  <c r="HO4" i="16"/>
  <c r="HP4" i="16"/>
  <c r="HQ4" i="16"/>
  <c r="HR4" i="16"/>
  <c r="HS4" i="16"/>
  <c r="HT4" i="16"/>
  <c r="HU4" i="16"/>
  <c r="HV4" i="16"/>
  <c r="HW4" i="16"/>
  <c r="HX4" i="16"/>
  <c r="HY4" i="16"/>
  <c r="HZ4" i="16"/>
  <c r="IA4" i="16"/>
  <c r="IB4" i="16"/>
  <c r="IC4" i="16"/>
  <c r="ID4" i="16"/>
  <c r="IE4" i="16"/>
  <c r="IF4" i="16"/>
  <c r="IG4" i="16"/>
  <c r="IH4" i="16"/>
  <c r="II4" i="16"/>
  <c r="IJ4" i="16"/>
  <c r="IK4" i="16"/>
  <c r="IL4" i="16"/>
  <c r="IM4" i="16"/>
  <c r="IN4" i="16"/>
  <c r="IO4" i="16"/>
  <c r="IP4" i="16"/>
  <c r="IQ4" i="16"/>
  <c r="IR4" i="16"/>
  <c r="IS4" i="16"/>
  <c r="IT4" i="16"/>
  <c r="IU4" i="16"/>
  <c r="IV4" i="16"/>
  <c r="IW4" i="16"/>
  <c r="IX4" i="16"/>
  <c r="IY4" i="16"/>
  <c r="IZ4" i="16"/>
  <c r="JA4" i="16"/>
  <c r="JB4" i="16"/>
  <c r="JC4" i="16"/>
  <c r="JD4" i="16"/>
  <c r="JE4" i="16"/>
  <c r="JF4" i="16"/>
  <c r="JG4" i="16"/>
  <c r="JH4" i="16"/>
  <c r="JI4" i="16"/>
  <c r="JJ4" i="16"/>
  <c r="JK4" i="16"/>
  <c r="JL4" i="16"/>
  <c r="JM4" i="16"/>
  <c r="JN4" i="16"/>
  <c r="JO4" i="16"/>
  <c r="JP4" i="16"/>
  <c r="JQ4" i="16"/>
  <c r="JR4" i="16"/>
  <c r="JS4" i="16"/>
  <c r="JT4" i="16"/>
  <c r="JU4" i="16"/>
  <c r="JV4" i="16"/>
  <c r="JW4" i="16"/>
  <c r="JX4" i="16"/>
  <c r="JY4" i="16"/>
  <c r="JZ4" i="16"/>
  <c r="KA4" i="16"/>
  <c r="KB4" i="16"/>
  <c r="KC4" i="16"/>
  <c r="KD4" i="16"/>
  <c r="KE4" i="16"/>
  <c r="KF4" i="16"/>
  <c r="KG4" i="16"/>
  <c r="KH4" i="16"/>
  <c r="KI4" i="16"/>
  <c r="KJ4" i="16"/>
  <c r="KK4" i="16"/>
  <c r="KL4" i="16"/>
  <c r="KM4" i="16"/>
  <c r="KN4" i="16"/>
  <c r="KO4" i="16"/>
  <c r="KP4" i="16"/>
  <c r="KQ4" i="16"/>
  <c r="KR4" i="16"/>
  <c r="KS4" i="16"/>
  <c r="KT4" i="16"/>
  <c r="KU4" i="16"/>
  <c r="KV4" i="16"/>
  <c r="KW4" i="16"/>
  <c r="KX4" i="16"/>
  <c r="KY4" i="16"/>
  <c r="KZ4" i="16"/>
  <c r="LA4" i="16"/>
  <c r="LB4" i="16"/>
  <c r="LC4" i="16"/>
  <c r="LD4" i="16"/>
  <c r="LE4" i="16"/>
  <c r="LF4" i="16"/>
  <c r="LG4" i="16"/>
  <c r="LH4" i="16"/>
  <c r="LI4" i="16"/>
  <c r="LJ4" i="16"/>
  <c r="LK4" i="16"/>
  <c r="LL4" i="16"/>
  <c r="LM4" i="16"/>
  <c r="LN4" i="16"/>
  <c r="LO4" i="16"/>
  <c r="LP4" i="16"/>
  <c r="LQ4" i="16"/>
  <c r="LR4" i="16"/>
  <c r="LS4" i="16"/>
  <c r="LT4" i="16"/>
  <c r="LU4" i="16"/>
  <c r="LV4" i="16"/>
  <c r="LW4" i="16"/>
  <c r="LX4" i="16"/>
  <c r="LY4" i="16"/>
  <c r="LZ4" i="16"/>
  <c r="MA4" i="16"/>
  <c r="MB4" i="16"/>
  <c r="MC4" i="16"/>
  <c r="MD4" i="16"/>
  <c r="ME4" i="16"/>
  <c r="MF4" i="16"/>
  <c r="MG4" i="16"/>
  <c r="MH4" i="16"/>
  <c r="MI4" i="16"/>
  <c r="MJ4" i="16"/>
  <c r="MK4" i="16"/>
  <c r="ML4" i="16"/>
  <c r="MM4" i="16"/>
  <c r="MN4" i="16"/>
  <c r="MO4" i="16"/>
  <c r="MP4" i="16"/>
  <c r="MQ4" i="16"/>
  <c r="MR4" i="16"/>
  <c r="MS4" i="16"/>
  <c r="MT4" i="16"/>
  <c r="MU4" i="16"/>
  <c r="MV4" i="16"/>
  <c r="MW4" i="16"/>
  <c r="MX4" i="16"/>
  <c r="MY4" i="16"/>
  <c r="MZ4" i="16"/>
  <c r="NA4" i="16"/>
  <c r="NB4" i="16"/>
  <c r="NC4" i="16"/>
  <c r="ND4" i="16"/>
  <c r="NE4" i="16"/>
  <c r="NF4" i="16"/>
  <c r="NG4" i="16"/>
  <c r="NH4" i="16"/>
  <c r="NI4" i="16"/>
  <c r="NJ4" i="16"/>
  <c r="NK4" i="16"/>
  <c r="NL4" i="16"/>
  <c r="NM4" i="16"/>
  <c r="NN4" i="16"/>
  <c r="NO4" i="16"/>
  <c r="NP4" i="16"/>
  <c r="NQ4" i="16"/>
  <c r="NR4" i="16"/>
  <c r="NS4" i="16"/>
  <c r="NT4" i="16"/>
  <c r="NU4" i="16"/>
  <c r="NV4" i="16"/>
  <c r="NW4" i="16"/>
  <c r="NX4" i="16"/>
  <c r="NY4" i="16"/>
  <c r="NZ4" i="16"/>
  <c r="OA4" i="16"/>
  <c r="OB4" i="16"/>
  <c r="OC4" i="16"/>
  <c r="OD4" i="16"/>
  <c r="OE4" i="16"/>
  <c r="OF4" i="16"/>
  <c r="OG4" i="16"/>
  <c r="OH4" i="16"/>
  <c r="OI4" i="16"/>
  <c r="OJ4" i="16"/>
  <c r="OK4" i="16"/>
  <c r="OL4" i="16"/>
  <c r="OM4" i="16"/>
  <c r="ON4" i="16"/>
  <c r="OO4" i="16"/>
  <c r="OP4" i="16"/>
  <c r="OQ4" i="16"/>
  <c r="OR4" i="16"/>
  <c r="AP3" i="16"/>
  <c r="AQ3" i="16"/>
  <c r="AR3" i="16"/>
  <c r="AS3" i="16"/>
  <c r="AT3" i="16"/>
  <c r="AU3" i="16"/>
  <c r="AV3" i="16"/>
  <c r="AW3" i="16"/>
  <c r="AX3" i="16"/>
  <c r="AY3" i="16"/>
  <c r="AZ3" i="16"/>
  <c r="BA3" i="16"/>
  <c r="BB3" i="16"/>
  <c r="BC3" i="16"/>
  <c r="BD3" i="16"/>
  <c r="BE3" i="16"/>
  <c r="BF3" i="16"/>
  <c r="BG3" i="16"/>
  <c r="BH3" i="16"/>
  <c r="BI3" i="16"/>
  <c r="AP4" i="16"/>
  <c r="AQ4" i="16"/>
  <c r="AR4" i="16"/>
  <c r="AS4" i="16"/>
  <c r="AT4" i="16"/>
  <c r="AU4" i="16"/>
  <c r="AV4" i="16"/>
  <c r="AW4" i="16"/>
  <c r="AX4" i="16"/>
  <c r="AY4" i="16"/>
  <c r="AZ4" i="16"/>
  <c r="BA4" i="16"/>
  <c r="BB4" i="16"/>
  <c r="BC4" i="16"/>
  <c r="BD4" i="16"/>
  <c r="BE4" i="16"/>
  <c r="BF4" i="16"/>
  <c r="BG4" i="16"/>
  <c r="BH4" i="16"/>
  <c r="BI4" i="16"/>
  <c r="AJ13" i="4" l="1"/>
  <c r="AJ14" i="4" s="1"/>
  <c r="AJ18" i="4" s="1"/>
  <c r="X19" i="4" s="1"/>
  <c r="X21" i="4" s="1"/>
  <c r="AK44" i="4"/>
  <c r="W46" i="4" s="1"/>
  <c r="AK43" i="4"/>
  <c r="W45" i="4" s="1"/>
  <c r="R23" i="1"/>
  <c r="B32" i="15"/>
  <c r="F23" i="1"/>
  <c r="E23" i="1"/>
  <c r="D23" i="1"/>
  <c r="D31" i="21" l="1"/>
  <c r="E17" i="22" s="1"/>
  <c r="D25" i="21"/>
  <c r="E11" i="22" s="1"/>
  <c r="D32" i="21"/>
  <c r="E18" i="22" s="1"/>
  <c r="D26" i="21"/>
  <c r="E12" i="22" s="1"/>
  <c r="D21" i="21"/>
  <c r="B33" i="15"/>
  <c r="B34" i="15" s="1"/>
  <c r="P1" i="16"/>
  <c r="S25" i="1"/>
  <c r="B6" i="20" s="1" a="1"/>
  <c r="B6" i="20" s="1"/>
  <c r="AA9" i="1"/>
  <c r="D4" i="9"/>
  <c r="C4" i="9"/>
  <c r="C39" i="9" s="1"/>
  <c r="D39" i="9" l="1"/>
  <c r="D22" i="9"/>
  <c r="D25" i="9" s="1"/>
  <c r="D29" i="21"/>
  <c r="S5" i="21" s="1"/>
  <c r="E7" i="22"/>
  <c r="L5" i="22"/>
  <c r="C22" i="9"/>
  <c r="K5" i="22"/>
  <c r="I9" i="4"/>
  <c r="B36" i="15"/>
  <c r="D36" i="15" s="1"/>
  <c r="F36" i="15" s="1"/>
  <c r="T28" i="1" s="1"/>
  <c r="B37" i="15"/>
  <c r="D37" i="15" s="1"/>
  <c r="F37" i="15" s="1"/>
  <c r="U28" i="1" s="1"/>
  <c r="B35" i="15"/>
  <c r="D35" i="15" s="1"/>
  <c r="F35" i="15" s="1"/>
  <c r="D6" i="9"/>
  <c r="L6" i="22" s="1"/>
  <c r="I10" i="4"/>
  <c r="D8" i="9"/>
  <c r="L8" i="22" s="1"/>
  <c r="D9" i="9"/>
  <c r="L9" i="22" s="1"/>
  <c r="D7" i="9"/>
  <c r="L7" i="22" s="1"/>
  <c r="C6" i="9"/>
  <c r="K6" i="22" s="1"/>
  <c r="C7" i="9"/>
  <c r="K7" i="22" s="1"/>
  <c r="C8" i="9"/>
  <c r="K8" i="22" s="1"/>
  <c r="C9" i="9"/>
  <c r="K9" i="22" s="1"/>
  <c r="D24" i="9" l="1"/>
  <c r="D27" i="9"/>
  <c r="D26" i="9"/>
  <c r="D28" i="9" s="1"/>
  <c r="D29" i="9" s="1"/>
  <c r="D30" i="9" s="1"/>
  <c r="S6" i="21"/>
  <c r="E15" i="22"/>
  <c r="E21" i="22" s="1"/>
  <c r="E22" i="22" s="1"/>
  <c r="D42" i="9"/>
  <c r="D43" i="9"/>
  <c r="D41" i="9"/>
  <c r="D44" i="9"/>
  <c r="C42" i="9"/>
  <c r="C44" i="9"/>
  <c r="C43" i="9"/>
  <c r="C41" i="9"/>
  <c r="C25" i="9"/>
  <c r="C24" i="9"/>
  <c r="C27" i="9"/>
  <c r="C26" i="9"/>
  <c r="U27" i="1"/>
  <c r="S27" i="1"/>
  <c r="T27" i="1"/>
  <c r="D10" i="9"/>
  <c r="D11" i="9" s="1"/>
  <c r="D12" i="9" s="1"/>
  <c r="C10" i="9"/>
  <c r="C11" i="9" s="1"/>
  <c r="C12" i="9" s="1"/>
  <c r="D45" i="9" l="1"/>
  <c r="D46" i="9" s="1"/>
  <c r="D47" i="9" s="1"/>
  <c r="C45" i="9"/>
  <c r="C28" i="9"/>
  <c r="C29" i="9" s="1"/>
  <c r="C30" i="9" s="1"/>
  <c r="C18" i="9"/>
  <c r="D18" i="9"/>
  <c r="B3" i="16"/>
  <c r="C3" i="16"/>
  <c r="D3" i="16"/>
  <c r="E3" i="16"/>
  <c r="F3" i="16"/>
  <c r="G3" i="16"/>
  <c r="H3" i="16"/>
  <c r="I3" i="16"/>
  <c r="J3" i="16"/>
  <c r="K3" i="16"/>
  <c r="L3" i="16"/>
  <c r="M3" i="16"/>
  <c r="N3" i="16"/>
  <c r="O3" i="16"/>
  <c r="P3" i="16"/>
  <c r="Q3" i="16"/>
  <c r="R3" i="16"/>
  <c r="S3" i="16"/>
  <c r="T3" i="16"/>
  <c r="U3" i="16"/>
  <c r="B4" i="16"/>
  <c r="C4" i="16"/>
  <c r="D4" i="16"/>
  <c r="E4" i="16"/>
  <c r="F4" i="16"/>
  <c r="G4" i="16"/>
  <c r="H4" i="16"/>
  <c r="I4" i="16"/>
  <c r="J4" i="16"/>
  <c r="K4" i="16"/>
  <c r="L4" i="16"/>
  <c r="M4" i="16"/>
  <c r="N4" i="16"/>
  <c r="O4" i="16"/>
  <c r="P4" i="16"/>
  <c r="Q4" i="16"/>
  <c r="R4" i="16"/>
  <c r="S4" i="16"/>
  <c r="T4" i="16"/>
  <c r="U4" i="16"/>
  <c r="W3" i="16"/>
  <c r="X3" i="16"/>
  <c r="Y3" i="16"/>
  <c r="Z3" i="16"/>
  <c r="AA3" i="16"/>
  <c r="AB3" i="16"/>
  <c r="AC3" i="16"/>
  <c r="AD3" i="16"/>
  <c r="AE3" i="16"/>
  <c r="AF3" i="16"/>
  <c r="AG3" i="16"/>
  <c r="AH3" i="16"/>
  <c r="AI3" i="16"/>
  <c r="AJ3" i="16"/>
  <c r="AK3" i="16"/>
  <c r="AL3" i="16"/>
  <c r="AM3" i="16"/>
  <c r="AN3" i="16"/>
  <c r="AO3" i="16"/>
  <c r="V3" i="16"/>
  <c r="W4" i="16"/>
  <c r="X4" i="16"/>
  <c r="Y4" i="16"/>
  <c r="Z4" i="16"/>
  <c r="AA4" i="16"/>
  <c r="AB4" i="16"/>
  <c r="AC4" i="16"/>
  <c r="AD4" i="16"/>
  <c r="AE4" i="16"/>
  <c r="AF4" i="16"/>
  <c r="AG4" i="16"/>
  <c r="AH4" i="16"/>
  <c r="AI4" i="16"/>
  <c r="AJ4" i="16"/>
  <c r="AK4" i="16"/>
  <c r="AL4" i="16"/>
  <c r="AM4" i="16"/>
  <c r="AN4" i="16"/>
  <c r="AO4" i="16"/>
  <c r="V4" i="16"/>
  <c r="C46" i="9" l="1"/>
  <c r="C47" i="9" s="1"/>
  <c r="L2" i="16"/>
  <c r="S28" i="1" s="1"/>
  <c r="H17" i="11" l="1"/>
  <c r="H16" i="11"/>
  <c r="H15" i="11"/>
  <c r="H14" i="11"/>
  <c r="H13" i="11"/>
  <c r="H12" i="11"/>
  <c r="H11" i="11"/>
  <c r="H10" i="11"/>
  <c r="H9" i="11"/>
  <c r="H8" i="11"/>
  <c r="H7" i="11"/>
  <c r="H6" i="11"/>
  <c r="H5" i="11"/>
  <c r="K4" i="11"/>
  <c r="H4" i="11"/>
  <c r="B4" i="11"/>
  <c r="B8" i="11" s="1"/>
  <c r="K3" i="11"/>
  <c r="H3" i="11"/>
  <c r="K2" i="11"/>
  <c r="H2" i="11"/>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M6" i="10"/>
  <c r="J6" i="10"/>
  <c r="M5" i="10"/>
  <c r="J5" i="10"/>
  <c r="M4" i="10"/>
  <c r="J4" i="10"/>
  <c r="B4" i="10"/>
  <c r="M3" i="10"/>
  <c r="J3" i="10"/>
  <c r="M2" i="10"/>
  <c r="J2" i="10"/>
  <c r="U29" i="9"/>
  <c r="T29" i="9"/>
  <c r="S29" i="9"/>
  <c r="R29" i="9"/>
  <c r="V28" i="9"/>
  <c r="O27" i="9"/>
  <c r="V27" i="9"/>
  <c r="O26" i="9"/>
  <c r="V26" i="9"/>
  <c r="O25" i="9"/>
  <c r="V25" i="9"/>
  <c r="O24" i="9"/>
  <c r="V24" i="9"/>
  <c r="O23" i="9"/>
  <c r="V23" i="9"/>
  <c r="O22" i="9"/>
  <c r="V22" i="9"/>
  <c r="O21" i="9"/>
  <c r="V21" i="9"/>
  <c r="O20" i="9"/>
  <c r="V20" i="9"/>
  <c r="O19" i="9"/>
  <c r="V19" i="9"/>
  <c r="O18" i="9"/>
  <c r="V18" i="9"/>
  <c r="O17" i="9"/>
  <c r="V17" i="9"/>
  <c r="O16" i="9"/>
  <c r="V16" i="9"/>
  <c r="O15" i="9"/>
  <c r="V15" i="9"/>
  <c r="O14" i="9"/>
  <c r="V13" i="9"/>
  <c r="O12" i="9"/>
  <c r="V12" i="9"/>
  <c r="O11" i="9"/>
  <c r="V11" i="9"/>
  <c r="O10" i="9"/>
  <c r="V10" i="9"/>
  <c r="O9" i="9"/>
  <c r="V9" i="9"/>
  <c r="O8" i="9"/>
  <c r="V8" i="9"/>
  <c r="O7" i="9"/>
  <c r="V7" i="9"/>
  <c r="O6" i="9"/>
  <c r="V6" i="9"/>
  <c r="O5" i="9"/>
  <c r="V5" i="9"/>
  <c r="O4" i="9"/>
  <c r="B4" i="9"/>
  <c r="V4" i="9"/>
  <c r="O3" i="9"/>
  <c r="V3" i="9"/>
  <c r="O2" i="9"/>
  <c r="O49" i="7"/>
  <c r="O48" i="7"/>
  <c r="O47" i="7"/>
  <c r="O46" i="7"/>
  <c r="O45" i="7"/>
  <c r="O44" i="7"/>
  <c r="O39" i="7"/>
  <c r="O38" i="7"/>
  <c r="O37" i="7"/>
  <c r="O36" i="7"/>
  <c r="O35" i="7"/>
  <c r="O34" i="7"/>
  <c r="O33" i="7"/>
  <c r="O32" i="7"/>
  <c r="O31" i="7"/>
  <c r="O30" i="7"/>
  <c r="O29" i="7"/>
  <c r="O28" i="7"/>
  <c r="O27" i="7"/>
  <c r="O26" i="7"/>
  <c r="O25" i="7"/>
  <c r="O24" i="7"/>
  <c r="O23" i="7"/>
  <c r="O22" i="7"/>
  <c r="O21" i="7"/>
  <c r="O20" i="7"/>
  <c r="O19" i="7"/>
  <c r="O18" i="7"/>
  <c r="O17" i="7"/>
  <c r="O16" i="7"/>
  <c r="O15" i="7"/>
  <c r="O14" i="7"/>
  <c r="O13" i="7"/>
  <c r="O12" i="7"/>
  <c r="O11" i="7"/>
  <c r="O10" i="7"/>
  <c r="O9" i="7"/>
  <c r="O8" i="7"/>
  <c r="O7" i="7"/>
  <c r="U6" i="4"/>
  <c r="S6" i="4"/>
  <c r="Q6" i="4"/>
  <c r="O6" i="4"/>
  <c r="M6" i="4"/>
  <c r="K5" i="4"/>
  <c r="U4" i="4"/>
  <c r="U17" i="4" s="1"/>
  <c r="X24" i="21" s="1"/>
  <c r="S4" i="4"/>
  <c r="S17" i="4" s="1"/>
  <c r="W24" i="21" s="1"/>
  <c r="Q4" i="4"/>
  <c r="Q17" i="4" s="1"/>
  <c r="V24" i="21" s="1"/>
  <c r="O4" i="4"/>
  <c r="O17" i="4" s="1"/>
  <c r="U24" i="21" s="1"/>
  <c r="K4" i="4"/>
  <c r="N34" i="1"/>
  <c r="J5" i="22" l="1"/>
  <c r="B41" i="9"/>
  <c r="B39" i="9"/>
  <c r="B44" i="9"/>
  <c r="B43" i="9"/>
  <c r="B42" i="9"/>
  <c r="K43" i="4"/>
  <c r="K44" i="4"/>
  <c r="B22" i="9"/>
  <c r="B27" i="9"/>
  <c r="B26" i="9"/>
  <c r="B24" i="9"/>
  <c r="B25" i="9"/>
  <c r="N43" i="4"/>
  <c r="N44" i="4"/>
  <c r="P43" i="4"/>
  <c r="P44" i="4"/>
  <c r="R43" i="4"/>
  <c r="R44" i="4"/>
  <c r="T44" i="4"/>
  <c r="T43" i="4"/>
  <c r="V43" i="4"/>
  <c r="V44" i="4"/>
  <c r="B9" i="10"/>
  <c r="L4" i="10" s="1"/>
  <c r="B16" i="10"/>
  <c r="E56" i="21" s="1"/>
  <c r="K13" i="4"/>
  <c r="K14" i="4" s="1"/>
  <c r="O13" i="4"/>
  <c r="O14" i="4" s="1"/>
  <c r="O31" i="4" s="1"/>
  <c r="Q13" i="4"/>
  <c r="Q14" i="4" s="1"/>
  <c r="Q31" i="4" s="1"/>
  <c r="B8" i="9"/>
  <c r="J8" i="22" s="1"/>
  <c r="I8" i="4"/>
  <c r="S13" i="4"/>
  <c r="S14" i="4" s="1"/>
  <c r="S31" i="4" s="1"/>
  <c r="U13" i="4"/>
  <c r="U14" i="4" s="1"/>
  <c r="U31" i="4" s="1"/>
  <c r="M13" i="4"/>
  <c r="M14" i="4" s="1"/>
  <c r="V29" i="9"/>
  <c r="W13" i="9" s="1"/>
  <c r="B9" i="11"/>
  <c r="B7" i="9"/>
  <c r="J7" i="22" s="1"/>
  <c r="B11" i="10"/>
  <c r="L6" i="10" s="1"/>
  <c r="B8" i="10"/>
  <c r="L3" i="10" s="1"/>
  <c r="B7" i="10"/>
  <c r="B9" i="9"/>
  <c r="J9" i="22" s="1"/>
  <c r="B10" i="10"/>
  <c r="B6" i="9"/>
  <c r="J6" i="22" s="1"/>
  <c r="O28" i="9"/>
  <c r="J53" i="10"/>
  <c r="B7" i="11"/>
  <c r="H18" i="11"/>
  <c r="B2" i="7"/>
  <c r="B10" i="7" s="1"/>
  <c r="D12" i="7" s="1"/>
  <c r="W21" i="9"/>
  <c r="W17" i="9"/>
  <c r="W19" i="9"/>
  <c r="W15" i="9"/>
  <c r="J3" i="11"/>
  <c r="N52" i="4" l="1"/>
  <c r="N51" i="4"/>
  <c r="B45" i="9"/>
  <c r="B28" i="9"/>
  <c r="B31" i="9" s="1"/>
  <c r="W23" i="9"/>
  <c r="W5" i="9"/>
  <c r="W12" i="9"/>
  <c r="W18" i="9"/>
  <c r="W16" i="9"/>
  <c r="W25" i="9"/>
  <c r="W27" i="9"/>
  <c r="W10" i="9"/>
  <c r="W20" i="9"/>
  <c r="W26" i="9"/>
  <c r="W24" i="9"/>
  <c r="W6" i="9"/>
  <c r="W28" i="9"/>
  <c r="W11" i="9"/>
  <c r="W3" i="9"/>
  <c r="W22" i="9"/>
  <c r="W4" i="9"/>
  <c r="W8" i="9"/>
  <c r="W7" i="9"/>
  <c r="W9" i="9"/>
  <c r="K45" i="4"/>
  <c r="K47" i="4" s="1"/>
  <c r="K46" i="4"/>
  <c r="M18" i="4"/>
  <c r="M31" i="4"/>
  <c r="K32" i="4" s="1"/>
  <c r="P5" i="9"/>
  <c r="P27" i="9"/>
  <c r="P24" i="9"/>
  <c r="P6" i="9"/>
  <c r="P26" i="9"/>
  <c r="B12" i="10"/>
  <c r="B13" i="10" s="1"/>
  <c r="P23" i="9"/>
  <c r="J4" i="11"/>
  <c r="B10" i="9"/>
  <c r="E10" i="9" s="1"/>
  <c r="E15" i="9" s="1"/>
  <c r="L5" i="10"/>
  <c r="B16" i="9"/>
  <c r="L2" i="10"/>
  <c r="J2" i="11"/>
  <c r="P3" i="9"/>
  <c r="P10" i="9"/>
  <c r="P7" i="9"/>
  <c r="P11" i="9"/>
  <c r="P8" i="9"/>
  <c r="P2" i="9"/>
  <c r="P12" i="9"/>
  <c r="P20" i="9"/>
  <c r="P14" i="9"/>
  <c r="P17" i="9"/>
  <c r="P16" i="9"/>
  <c r="P15" i="9"/>
  <c r="W29" i="9"/>
  <c r="P18" i="9"/>
  <c r="P21" i="9"/>
  <c r="P4" i="9"/>
  <c r="P19" i="9"/>
  <c r="B10" i="11"/>
  <c r="P22" i="9"/>
  <c r="P25" i="9"/>
  <c r="P9" i="9"/>
  <c r="E12" i="7"/>
  <c r="F12" i="7"/>
  <c r="G12" i="7"/>
  <c r="F13" i="7" s="1"/>
  <c r="A12" i="7"/>
  <c r="B12" i="7"/>
  <c r="C12" i="7"/>
  <c r="B1" i="7"/>
  <c r="B4" i="7" s="1"/>
  <c r="E28" i="9" l="1"/>
  <c r="E33" i="9" s="1"/>
  <c r="O51" i="4"/>
  <c r="J52" i="4" s="1"/>
  <c r="O52" i="4"/>
  <c r="J54" i="4" s="1"/>
  <c r="B29" i="9"/>
  <c r="B30" i="9" s="1"/>
  <c r="B48" i="9"/>
  <c r="B46" i="9"/>
  <c r="B47" i="9" s="1"/>
  <c r="E45" i="9"/>
  <c r="K48" i="4"/>
  <c r="K34" i="4"/>
  <c r="C21" i="21"/>
  <c r="C29" i="21" s="1"/>
  <c r="K20" i="4"/>
  <c r="M19" i="4"/>
  <c r="E11" i="9"/>
  <c r="B11" i="9"/>
  <c r="B12" i="9" s="1"/>
  <c r="J6" i="11"/>
  <c r="B13" i="11" s="1"/>
  <c r="B13" i="9"/>
  <c r="L8" i="10"/>
  <c r="B15" i="10" s="1"/>
  <c r="B11" i="11"/>
  <c r="G13" i="7"/>
  <c r="A13" i="7"/>
  <c r="B13" i="7"/>
  <c r="C13" i="7"/>
  <c r="D13" i="7"/>
  <c r="E13" i="7"/>
  <c r="B6" i="7"/>
  <c r="A6" i="7"/>
  <c r="C6" i="7"/>
  <c r="D6" i="7"/>
  <c r="E6" i="7"/>
  <c r="F6" i="7"/>
  <c r="G6" i="7"/>
  <c r="E29" i="9" l="1"/>
  <c r="E30" i="9" s="1"/>
  <c r="E32" i="9" s="1"/>
  <c r="K49" i="4"/>
  <c r="K50" i="4"/>
  <c r="E50" i="9"/>
  <c r="E46" i="9"/>
  <c r="E47" i="9" s="1"/>
  <c r="E49" i="9" s="1"/>
  <c r="D15" i="22"/>
  <c r="D21" i="22" s="1"/>
  <c r="D7" i="22"/>
  <c r="E12" i="9"/>
  <c r="I13" i="4"/>
  <c r="B18" i="9"/>
  <c r="D14" i="7"/>
  <c r="B14" i="7"/>
  <c r="E14" i="7"/>
  <c r="C14" i="7"/>
  <c r="F14" i="7"/>
  <c r="G7" i="7"/>
  <c r="B7" i="7"/>
  <c r="A7" i="7"/>
  <c r="C7" i="7"/>
  <c r="D7" i="7"/>
  <c r="E7" i="7"/>
  <c r="F7" i="7"/>
  <c r="J33" i="9" l="1"/>
  <c r="J35" i="9" s="1"/>
  <c r="J34" i="9"/>
  <c r="J36" i="9" s="1"/>
  <c r="H23" i="22"/>
  <c r="H24" i="22"/>
  <c r="H22" i="22"/>
  <c r="D23" i="22"/>
  <c r="D24" i="22"/>
  <c r="C32" i="21"/>
  <c r="C26" i="21"/>
  <c r="D12" i="22" s="1"/>
  <c r="C31" i="21"/>
  <c r="C25" i="21"/>
  <c r="D11" i="22" s="1"/>
  <c r="E14" i="9"/>
  <c r="I14" i="4"/>
  <c r="B8" i="7"/>
  <c r="C8" i="7"/>
  <c r="D8" i="7"/>
  <c r="E8" i="7"/>
  <c r="F8" i="7"/>
  <c r="O81" i="22" l="1"/>
  <c r="W58" i="22"/>
  <c r="W57" i="22"/>
  <c r="G84" i="22"/>
  <c r="O83" i="22"/>
  <c r="W59" i="22"/>
  <c r="O80" i="22"/>
  <c r="O82" i="22"/>
  <c r="W60" i="22"/>
  <c r="O71" i="22"/>
  <c r="W56" i="22"/>
  <c r="O84" i="22"/>
  <c r="O56" i="22"/>
  <c r="G82" i="22"/>
  <c r="O68" i="22"/>
  <c r="O70" i="22"/>
  <c r="O72" i="22"/>
  <c r="G68" i="22"/>
  <c r="W81" i="22"/>
  <c r="G81" i="22"/>
  <c r="G56" i="22"/>
  <c r="W72" i="22"/>
  <c r="G69" i="22"/>
  <c r="G59" i="22"/>
  <c r="G72" i="22"/>
  <c r="G57" i="22"/>
  <c r="O69" i="22"/>
  <c r="G70" i="22"/>
  <c r="W83" i="22"/>
  <c r="O60" i="22"/>
  <c r="W68" i="22"/>
  <c r="W70" i="22"/>
  <c r="W82" i="22"/>
  <c r="W71" i="22"/>
  <c r="W69" i="22"/>
  <c r="O59" i="22"/>
  <c r="W80" i="22"/>
  <c r="G71" i="22"/>
  <c r="O58" i="22"/>
  <c r="G60" i="22"/>
  <c r="C92" i="22" s="1"/>
  <c r="G80" i="22"/>
  <c r="G58" i="22"/>
  <c r="W84" i="22"/>
  <c r="O57" i="22"/>
  <c r="G83" i="22"/>
  <c r="R6" i="21"/>
  <c r="D17" i="22"/>
  <c r="R5" i="21"/>
  <c r="D18" i="22"/>
  <c r="C88" i="22" l="1"/>
  <c r="K91" i="22"/>
  <c r="K88" i="22"/>
  <c r="C90" i="22"/>
  <c r="S88" i="22"/>
  <c r="K90" i="22"/>
  <c r="C91" i="22"/>
  <c r="S91" i="22"/>
  <c r="S92" i="22"/>
  <c r="K89" i="22"/>
  <c r="S89" i="22"/>
  <c r="K92" i="22"/>
  <c r="S90" i="22"/>
  <c r="C89" i="22"/>
  <c r="K5" i="18"/>
  <c r="K33" i="18" s="1"/>
  <c r="K38" i="18" s="1"/>
  <c r="K39" i="18" s="1"/>
  <c r="L41" i="18" s="1"/>
  <c r="E33" i="17"/>
  <c r="D9" i="24" s="1"/>
  <c r="H3" i="18" l="1"/>
  <c r="B3" i="18"/>
  <c r="F33" i="17"/>
  <c r="E8" i="1" s="1"/>
  <c r="H4" i="18" l="1"/>
  <c r="D10" i="24"/>
  <c r="B4" i="18"/>
  <c r="G33" i="17"/>
  <c r="E9" i="1" s="1"/>
  <c r="G9" i="24" s="1"/>
  <c r="H33" i="17"/>
  <c r="E10" i="1" s="1"/>
  <c r="G10" i="24" s="1"/>
  <c r="H5" i="18" l="1"/>
  <c r="B6" i="18"/>
  <c r="B12" i="18" s="1"/>
  <c r="B13" i="18" s="1"/>
  <c r="B19" i="18" s="1"/>
  <c r="H6" i="18"/>
  <c r="E12" i="1"/>
  <c r="C5" i="1" s="1"/>
  <c r="B5" i="18"/>
  <c r="B8" i="18" l="1"/>
  <c r="B10" i="18" s="1"/>
  <c r="H8" i="18"/>
  <c r="H12" i="18"/>
  <c r="H13" i="18" s="1"/>
  <c r="B15" i="18" l="1"/>
  <c r="H15" i="18"/>
  <c r="L43" i="18"/>
  <c r="L44" i="18" s="1"/>
  <c r="H10" i="18"/>
  <c r="K23" i="18" l="1"/>
  <c r="K25" i="18" s="1"/>
  <c r="D11" i="24"/>
  <c r="H17" i="18" l="1"/>
  <c r="H19" i="18"/>
  <c r="N4" i="18"/>
  <c r="F4" i="9" s="1"/>
  <c r="N5" i="22" l="1"/>
  <c r="F42" i="9"/>
  <c r="G42" i="9" s="1"/>
  <c r="F44" i="9"/>
  <c r="G44" i="9" s="1"/>
  <c r="F43" i="9"/>
  <c r="G43" i="9" s="1"/>
  <c r="F41" i="9"/>
  <c r="F39" i="9"/>
  <c r="F27" i="9"/>
  <c r="G27" i="9" s="1"/>
  <c r="F26" i="9"/>
  <c r="G26" i="9" s="1"/>
  <c r="F25" i="9"/>
  <c r="G25" i="9" s="1"/>
  <c r="F6" i="9"/>
  <c r="F24" i="9"/>
  <c r="F9" i="9"/>
  <c r="N9" i="22" s="1"/>
  <c r="O9" i="22" s="1"/>
  <c r="F8" i="9"/>
  <c r="F7" i="9"/>
  <c r="G8" i="4"/>
  <c r="F22" i="9"/>
  <c r="F45" i="9" l="1"/>
  <c r="G41" i="9"/>
  <c r="G6" i="9"/>
  <c r="N6" i="22"/>
  <c r="O6" i="22" s="1"/>
  <c r="G7" i="9"/>
  <c r="N7" i="22"/>
  <c r="O7" i="22" s="1"/>
  <c r="G8" i="9"/>
  <c r="N8" i="22"/>
  <c r="O8" i="22" s="1"/>
  <c r="F28" i="9"/>
  <c r="F10" i="9"/>
  <c r="F11" i="9" s="1"/>
  <c r="G9" i="9"/>
  <c r="G24" i="9"/>
  <c r="F16" i="9"/>
  <c r="O10" i="22" l="1"/>
  <c r="P8" i="22" s="1"/>
  <c r="G10" i="9"/>
  <c r="G13" i="9" s="1"/>
  <c r="F46" i="9"/>
  <c r="F50" i="9"/>
  <c r="G45" i="9"/>
  <c r="G48" i="9" s="1"/>
  <c r="N10" i="22"/>
  <c r="G16" i="9"/>
  <c r="F29" i="9"/>
  <c r="F33" i="9"/>
  <c r="G28" i="9"/>
  <c r="G31" i="9" s="1"/>
  <c r="F15" i="9"/>
  <c r="G13" i="4"/>
  <c r="P6" i="22" l="1"/>
  <c r="P9" i="22"/>
  <c r="P7" i="22"/>
  <c r="F47" i="9"/>
  <c r="G46" i="9"/>
  <c r="F30" i="9"/>
  <c r="G29" i="9"/>
  <c r="G11" i="9"/>
  <c r="F12" i="9"/>
  <c r="G14" i="4" s="1"/>
  <c r="G19" i="4" s="1"/>
  <c r="F49" i="9" l="1"/>
  <c r="G49" i="9" s="1"/>
  <c r="G47" i="9"/>
  <c r="K34" i="9"/>
  <c r="K36" i="9" s="1"/>
  <c r="H40" i="4" s="1"/>
  <c r="K33" i="9"/>
  <c r="K35" i="9" s="1"/>
  <c r="G40" i="4" s="1"/>
  <c r="F32" i="9"/>
  <c r="G32" i="9" s="1"/>
  <c r="G30" i="9"/>
  <c r="G20" i="4"/>
  <c r="B21" i="21"/>
  <c r="G12" i="9"/>
  <c r="F14" i="9"/>
  <c r="G14" i="9" s="1"/>
  <c r="C7" i="22" l="1"/>
  <c r="D6" i="21"/>
  <c r="D7" i="21" s="1"/>
  <c r="G47" i="4"/>
  <c r="G48" i="4"/>
  <c r="B29" i="21"/>
  <c r="C15" i="22" s="1"/>
  <c r="D51" i="21"/>
  <c r="D52" i="21" s="1"/>
  <c r="M78" i="21" s="1"/>
  <c r="M80" i="21" l="1"/>
  <c r="I111" i="21" s="1"/>
  <c r="F22" i="22"/>
  <c r="F23" i="22"/>
  <c r="F24" i="22"/>
  <c r="B32" i="21"/>
  <c r="G46" i="4"/>
  <c r="B26" i="21" s="1"/>
  <c r="V67" i="21" l="1"/>
  <c r="V71" i="21"/>
  <c r="V66" i="21"/>
  <c r="V75" i="21"/>
  <c r="V79" i="21"/>
  <c r="V83" i="21"/>
  <c r="V87" i="21"/>
  <c r="V91" i="21"/>
  <c r="V95" i="21"/>
  <c r="V99" i="21"/>
  <c r="V103" i="21"/>
  <c r="V107" i="21"/>
  <c r="V111" i="21"/>
  <c r="V115" i="21"/>
  <c r="V119" i="21"/>
  <c r="V123" i="21"/>
  <c r="V127" i="21"/>
  <c r="V131" i="21"/>
  <c r="V73" i="21"/>
  <c r="V77" i="21"/>
  <c r="V81" i="21"/>
  <c r="V85" i="21"/>
  <c r="V89" i="21"/>
  <c r="V93" i="21"/>
  <c r="V97" i="21"/>
  <c r="V101" i="21"/>
  <c r="V105" i="21"/>
  <c r="V109" i="21"/>
  <c r="V113" i="21"/>
  <c r="V117" i="21"/>
  <c r="V121" i="21"/>
  <c r="V125" i="21"/>
  <c r="V129" i="21"/>
  <c r="V133" i="21"/>
  <c r="V137" i="21"/>
  <c r="V141" i="21"/>
  <c r="V145" i="21"/>
  <c r="V149" i="21"/>
  <c r="V153" i="21"/>
  <c r="V157" i="21"/>
  <c r="V161" i="21"/>
  <c r="V64" i="21"/>
  <c r="V69" i="21"/>
  <c r="V70" i="21"/>
  <c r="V76" i="21"/>
  <c r="V124" i="21"/>
  <c r="V144" i="21"/>
  <c r="V159" i="21"/>
  <c r="V140" i="21"/>
  <c r="V164" i="21"/>
  <c r="V90" i="21"/>
  <c r="V96" i="21"/>
  <c r="V102" i="21"/>
  <c r="V108" i="21"/>
  <c r="V135" i="21"/>
  <c r="V154" i="21"/>
  <c r="V114" i="21"/>
  <c r="V130" i="21"/>
  <c r="V150" i="21"/>
  <c r="V84" i="21"/>
  <c r="V78" i="21"/>
  <c r="V120" i="21"/>
  <c r="V155" i="21"/>
  <c r="V136" i="21"/>
  <c r="V160" i="21"/>
  <c r="V151" i="21"/>
  <c r="V152" i="21"/>
  <c r="V143" i="21"/>
  <c r="V72" i="21"/>
  <c r="V86" i="21"/>
  <c r="V92" i="21"/>
  <c r="V98" i="21"/>
  <c r="V104" i="21"/>
  <c r="V110" i="21"/>
  <c r="V126" i="21"/>
  <c r="V146" i="21"/>
  <c r="V65" i="21"/>
  <c r="V116" i="21"/>
  <c r="V132" i="21"/>
  <c r="V156" i="21"/>
  <c r="V80" i="21"/>
  <c r="V142" i="21"/>
  <c r="V147" i="21"/>
  <c r="V122" i="21"/>
  <c r="V138" i="21"/>
  <c r="V162" i="21"/>
  <c r="V134" i="21"/>
  <c r="V158" i="21"/>
  <c r="V74" i="21"/>
  <c r="V88" i="21"/>
  <c r="V94" i="21"/>
  <c r="V100" i="21"/>
  <c r="V106" i="21"/>
  <c r="V112" i="21"/>
  <c r="V128" i="21"/>
  <c r="V82" i="21"/>
  <c r="V148" i="21"/>
  <c r="V68" i="21"/>
  <c r="V118" i="21"/>
  <c r="V139" i="21"/>
  <c r="V163" i="21"/>
  <c r="C99" i="21"/>
  <c r="M93" i="21"/>
  <c r="M91" i="21"/>
  <c r="M87" i="21"/>
  <c r="M92" i="21"/>
  <c r="M84" i="21"/>
  <c r="M82" i="21"/>
  <c r="M86" i="21"/>
  <c r="M85" i="21"/>
  <c r="M83" i="21"/>
  <c r="M88" i="21"/>
  <c r="F25" i="22"/>
  <c r="G23" i="22" s="1"/>
  <c r="F53" i="21"/>
  <c r="F54" i="21" s="1"/>
  <c r="L78" i="21" s="1"/>
  <c r="C12" i="22"/>
  <c r="Q5" i="21"/>
  <c r="C18" i="22"/>
  <c r="B31" i="21"/>
  <c r="G45" i="4"/>
  <c r="B25" i="21" s="1"/>
  <c r="Y5" i="21" l="1"/>
  <c r="Z7" i="21" s="1"/>
  <c r="F105" i="21"/>
  <c r="AG107" i="21"/>
  <c r="Y107" i="21"/>
  <c r="Y128" i="21"/>
  <c r="AG128" i="21"/>
  <c r="AG147" i="21"/>
  <c r="Y147" i="21"/>
  <c r="Y92" i="21"/>
  <c r="AG92" i="21"/>
  <c r="AG150" i="21"/>
  <c r="Y150" i="21"/>
  <c r="Y144" i="21"/>
  <c r="AG144" i="21"/>
  <c r="AG137" i="21"/>
  <c r="Y137" i="21"/>
  <c r="AG89" i="21"/>
  <c r="Y89" i="21"/>
  <c r="AG103" i="21"/>
  <c r="Y103" i="21"/>
  <c r="AG82" i="21"/>
  <c r="Y82" i="21"/>
  <c r="Y112" i="21"/>
  <c r="AG112" i="21"/>
  <c r="AG142" i="21"/>
  <c r="Y142" i="21"/>
  <c r="AG86" i="21"/>
  <c r="Y86" i="21"/>
  <c r="AG130" i="21"/>
  <c r="Y130" i="21"/>
  <c r="Y124" i="21"/>
  <c r="AG124" i="21"/>
  <c r="AG133" i="21"/>
  <c r="Y133" i="21"/>
  <c r="AG85" i="21"/>
  <c r="Y85" i="21"/>
  <c r="AG99" i="21"/>
  <c r="Y99" i="21"/>
  <c r="AG72" i="21"/>
  <c r="Y72" i="21"/>
  <c r="AG81" i="21"/>
  <c r="Y81" i="21"/>
  <c r="Y95" i="21"/>
  <c r="AG95" i="21"/>
  <c r="Y93" i="21"/>
  <c r="AG93" i="21"/>
  <c r="AG154" i="21"/>
  <c r="Y154" i="21"/>
  <c r="AG70" i="21"/>
  <c r="Y70" i="21"/>
  <c r="AG125" i="21"/>
  <c r="Y125" i="21"/>
  <c r="AG77" i="21"/>
  <c r="Y77" i="21"/>
  <c r="AG91" i="21"/>
  <c r="Y91" i="21"/>
  <c r="Y141" i="21"/>
  <c r="AG141" i="21"/>
  <c r="AG129" i="21"/>
  <c r="Y129" i="21"/>
  <c r="Y156" i="21"/>
  <c r="AG156" i="21"/>
  <c r="AG94" i="21"/>
  <c r="Y94" i="21"/>
  <c r="Y132" i="21"/>
  <c r="AG132" i="21"/>
  <c r="Y152" i="21"/>
  <c r="AG152" i="21"/>
  <c r="AG135" i="21"/>
  <c r="Y135" i="21"/>
  <c r="AG69" i="21"/>
  <c r="Y69" i="21"/>
  <c r="AG121" i="21"/>
  <c r="Y121" i="21"/>
  <c r="Y73" i="21"/>
  <c r="AG73" i="21"/>
  <c r="AG87" i="21"/>
  <c r="Y87" i="21"/>
  <c r="AG159" i="21"/>
  <c r="Y159" i="21"/>
  <c r="Y80" i="21"/>
  <c r="AG80" i="21"/>
  <c r="AG114" i="21"/>
  <c r="Y114" i="21"/>
  <c r="Y143" i="21"/>
  <c r="AG143" i="21"/>
  <c r="Y88" i="21"/>
  <c r="AG88" i="21"/>
  <c r="Y116" i="21"/>
  <c r="AG116" i="21"/>
  <c r="AG151" i="21"/>
  <c r="Y151" i="21"/>
  <c r="Y108" i="21"/>
  <c r="AG108" i="21"/>
  <c r="Y64" i="21"/>
  <c r="AB64" i="21" s="1"/>
  <c r="AG64" i="21"/>
  <c r="AJ64" i="21" s="1"/>
  <c r="AG117" i="21"/>
  <c r="Y117" i="21"/>
  <c r="AG131" i="21"/>
  <c r="Y131" i="21"/>
  <c r="AG83" i="21"/>
  <c r="Y83" i="21"/>
  <c r="Y98" i="21"/>
  <c r="AG98" i="21"/>
  <c r="AG106" i="21"/>
  <c r="Y106" i="21"/>
  <c r="AG76" i="21"/>
  <c r="Y76" i="21"/>
  <c r="Y100" i="21"/>
  <c r="AG100" i="21"/>
  <c r="AG163" i="21"/>
  <c r="Y163" i="21"/>
  <c r="Y74" i="21"/>
  <c r="AG74" i="21"/>
  <c r="Y65" i="21"/>
  <c r="AG65" i="21"/>
  <c r="Y160" i="21"/>
  <c r="AG160" i="21"/>
  <c r="AG102" i="21"/>
  <c r="Y102" i="21"/>
  <c r="AG161" i="21"/>
  <c r="Y161" i="21"/>
  <c r="AG113" i="21"/>
  <c r="Y113" i="21"/>
  <c r="AG127" i="21"/>
  <c r="Y127" i="21"/>
  <c r="Y79" i="21"/>
  <c r="AG79" i="21"/>
  <c r="AG158" i="21"/>
  <c r="Y158" i="21"/>
  <c r="Y96" i="21"/>
  <c r="AG96" i="21"/>
  <c r="AG157" i="21"/>
  <c r="Y157" i="21"/>
  <c r="AG109" i="21"/>
  <c r="Y109" i="21"/>
  <c r="AG123" i="21"/>
  <c r="Y123" i="21"/>
  <c r="AG75" i="21"/>
  <c r="Y75" i="21"/>
  <c r="AG122" i="21"/>
  <c r="Y122" i="21"/>
  <c r="AG139" i="21"/>
  <c r="Y139" i="21"/>
  <c r="AG118" i="21"/>
  <c r="Y118" i="21"/>
  <c r="AG126" i="21"/>
  <c r="Y126" i="21"/>
  <c r="AG155" i="21"/>
  <c r="Y155" i="21"/>
  <c r="AG90" i="21"/>
  <c r="Y90" i="21"/>
  <c r="AG153" i="21"/>
  <c r="Y153" i="21"/>
  <c r="AG105" i="21"/>
  <c r="Y105" i="21"/>
  <c r="AG119" i="21"/>
  <c r="Y119" i="21"/>
  <c r="Y66" i="21"/>
  <c r="AG66" i="21"/>
  <c r="Y84" i="21"/>
  <c r="AG84" i="21"/>
  <c r="AG146" i="21"/>
  <c r="Y146" i="21"/>
  <c r="Y136" i="21"/>
  <c r="AG136" i="21"/>
  <c r="AG68" i="21"/>
  <c r="Y68" i="21"/>
  <c r="AG162" i="21"/>
  <c r="Y162" i="21"/>
  <c r="AG110" i="21"/>
  <c r="Y110" i="21"/>
  <c r="Y120" i="21"/>
  <c r="AG120" i="21"/>
  <c r="AG164" i="21"/>
  <c r="Y164" i="21"/>
  <c r="AG149" i="21"/>
  <c r="Y149" i="21"/>
  <c r="AG101" i="21"/>
  <c r="Y101" i="21"/>
  <c r="AG115" i="21"/>
  <c r="Y115" i="21"/>
  <c r="Y71" i="21"/>
  <c r="AG71" i="21"/>
  <c r="AG134" i="21"/>
  <c r="Y134" i="21"/>
  <c r="Y148" i="21"/>
  <c r="AG148" i="21"/>
  <c r="AG138" i="21"/>
  <c r="Y138" i="21"/>
  <c r="Y104" i="21"/>
  <c r="AG104" i="21"/>
  <c r="AG78" i="21"/>
  <c r="Y78" i="21"/>
  <c r="AG140" i="21"/>
  <c r="Y140" i="21"/>
  <c r="AG145" i="21"/>
  <c r="Y145" i="21"/>
  <c r="AG97" i="21"/>
  <c r="Y97" i="21"/>
  <c r="Y111" i="21"/>
  <c r="AG111" i="21"/>
  <c r="Y67" i="21"/>
  <c r="AG67" i="21"/>
  <c r="Y6" i="21"/>
  <c r="X7" i="21" s="1"/>
  <c r="L80" i="21"/>
  <c r="L60" i="24"/>
  <c r="L84" i="24" s="1"/>
  <c r="J15" i="22"/>
  <c r="V60" i="24"/>
  <c r="L80" i="24" s="1"/>
  <c r="L102" i="21"/>
  <c r="M102" i="21" s="1"/>
  <c r="C105" i="21" s="1"/>
  <c r="M60" i="24"/>
  <c r="M84" i="24" s="1"/>
  <c r="W60" i="24"/>
  <c r="M80" i="24" s="1"/>
  <c r="K60" i="24"/>
  <c r="K84" i="24" s="1"/>
  <c r="U60" i="24"/>
  <c r="K80" i="24" s="1"/>
  <c r="G22" i="22"/>
  <c r="E55" i="21" s="1"/>
  <c r="G24" i="22"/>
  <c r="BE105" i="22" s="1"/>
  <c r="Q6" i="21"/>
  <c r="C17" i="22"/>
  <c r="D53" i="21"/>
  <c r="D54" i="21" s="1"/>
  <c r="C11" i="22"/>
  <c r="N78" i="21" l="1"/>
  <c r="N80" i="21" s="1"/>
  <c r="H111" i="21" s="1"/>
  <c r="W16" i="21"/>
  <c r="W18" i="21" s="1"/>
  <c r="AJ65" i="21"/>
  <c r="AJ66" i="21" s="1"/>
  <c r="AJ67" i="21" s="1"/>
  <c r="AJ68" i="21" s="1"/>
  <c r="AJ69" i="21" s="1"/>
  <c r="AJ70" i="21" s="1"/>
  <c r="AJ71" i="21" s="1"/>
  <c r="AJ72" i="21" s="1"/>
  <c r="AJ73" i="21" s="1"/>
  <c r="AJ74" i="21" s="1"/>
  <c r="AJ75" i="21" s="1"/>
  <c r="AJ76" i="21" s="1"/>
  <c r="AJ77" i="21" s="1"/>
  <c r="AJ78" i="21" s="1"/>
  <c r="AJ79" i="21" s="1"/>
  <c r="AJ80" i="21" s="1"/>
  <c r="AJ81" i="21" s="1"/>
  <c r="AJ82" i="21" s="1"/>
  <c r="AJ83" i="21" s="1"/>
  <c r="AJ84" i="21" s="1"/>
  <c r="AJ85" i="21" s="1"/>
  <c r="AJ86" i="21" s="1"/>
  <c r="AJ87" i="21" s="1"/>
  <c r="AJ88" i="21" s="1"/>
  <c r="AJ89" i="21" s="1"/>
  <c r="AJ90" i="21" s="1"/>
  <c r="AJ91" i="21" s="1"/>
  <c r="AJ92" i="21" s="1"/>
  <c r="AJ93" i="21" s="1"/>
  <c r="AJ94" i="21" s="1"/>
  <c r="AJ95" i="21" s="1"/>
  <c r="AJ96" i="21" s="1"/>
  <c r="AJ97" i="21" s="1"/>
  <c r="AJ98" i="21" s="1"/>
  <c r="AJ99" i="21" s="1"/>
  <c r="AJ100" i="21" s="1"/>
  <c r="AJ101" i="21" s="1"/>
  <c r="AJ102" i="21" s="1"/>
  <c r="AJ103" i="21" s="1"/>
  <c r="AJ104" i="21" s="1"/>
  <c r="AJ105" i="21" s="1"/>
  <c r="AJ106" i="21" s="1"/>
  <c r="AJ107" i="21" s="1"/>
  <c r="AJ108" i="21" s="1"/>
  <c r="AJ109" i="21" s="1"/>
  <c r="AJ110" i="21" s="1"/>
  <c r="AJ111" i="21" s="1"/>
  <c r="AJ112" i="21" s="1"/>
  <c r="AJ113" i="21" s="1"/>
  <c r="AJ114" i="21" s="1"/>
  <c r="AJ115" i="21" s="1"/>
  <c r="AJ116" i="21" s="1"/>
  <c r="AJ117" i="21" s="1"/>
  <c r="AJ118" i="21" s="1"/>
  <c r="AJ119" i="21" s="1"/>
  <c r="AJ120" i="21" s="1"/>
  <c r="AJ121" i="21" s="1"/>
  <c r="AJ122" i="21" s="1"/>
  <c r="AJ123" i="21" s="1"/>
  <c r="AJ124" i="21" s="1"/>
  <c r="AJ125" i="21" s="1"/>
  <c r="AJ126" i="21" s="1"/>
  <c r="AJ127" i="21" s="1"/>
  <c r="AJ128" i="21" s="1"/>
  <c r="AJ129" i="21" s="1"/>
  <c r="AJ130" i="21" s="1"/>
  <c r="AJ131" i="21" s="1"/>
  <c r="AJ132" i="21" s="1"/>
  <c r="AJ133" i="21" s="1"/>
  <c r="AJ134" i="21" s="1"/>
  <c r="AJ135" i="21" s="1"/>
  <c r="AJ136" i="21" s="1"/>
  <c r="AJ137" i="21" s="1"/>
  <c r="AJ138" i="21" s="1"/>
  <c r="AJ139" i="21" s="1"/>
  <c r="AJ140" i="21" s="1"/>
  <c r="AJ141" i="21" s="1"/>
  <c r="AJ142" i="21" s="1"/>
  <c r="AJ143" i="21" s="1"/>
  <c r="AJ144" i="21" s="1"/>
  <c r="AJ145" i="21" s="1"/>
  <c r="AJ146" i="21" s="1"/>
  <c r="AJ147" i="21" s="1"/>
  <c r="AJ148" i="21" s="1"/>
  <c r="AJ149" i="21" s="1"/>
  <c r="AJ150" i="21" s="1"/>
  <c r="AJ151" i="21" s="1"/>
  <c r="AJ152" i="21" s="1"/>
  <c r="AJ153" i="21" s="1"/>
  <c r="AJ154" i="21" s="1"/>
  <c r="AJ155" i="21" s="1"/>
  <c r="AJ156" i="21" s="1"/>
  <c r="AJ157" i="21" s="1"/>
  <c r="AJ158" i="21" s="1"/>
  <c r="AJ159" i="21" s="1"/>
  <c r="AJ160" i="21" s="1"/>
  <c r="AJ161" i="21" s="1"/>
  <c r="AJ162" i="21" s="1"/>
  <c r="AJ163" i="21" s="1"/>
  <c r="AJ164" i="21" s="1"/>
  <c r="AB65" i="21"/>
  <c r="AB66" i="21" s="1"/>
  <c r="AB67" i="21" s="1"/>
  <c r="AB68" i="21" s="1"/>
  <c r="AB69" i="21" s="1"/>
  <c r="AB70" i="21" s="1"/>
  <c r="AB71" i="21" s="1"/>
  <c r="AB72" i="21" s="1"/>
  <c r="AB73" i="21" s="1"/>
  <c r="AB74" i="21" s="1"/>
  <c r="AB75" i="21" s="1"/>
  <c r="AB76" i="21" s="1"/>
  <c r="AB77" i="21" s="1"/>
  <c r="AB78" i="21" s="1"/>
  <c r="AB79" i="21" s="1"/>
  <c r="AB80" i="21" s="1"/>
  <c r="AB81" i="21" s="1"/>
  <c r="AB82" i="21" s="1"/>
  <c r="AB83" i="21" s="1"/>
  <c r="AB84" i="21" s="1"/>
  <c r="AB85" i="21" s="1"/>
  <c r="AB86" i="21" s="1"/>
  <c r="AB87" i="21" s="1"/>
  <c r="AB88" i="21" s="1"/>
  <c r="AB89" i="21" s="1"/>
  <c r="AB90" i="21" s="1"/>
  <c r="AB91" i="21" s="1"/>
  <c r="AB92" i="21" s="1"/>
  <c r="AB93" i="21" s="1"/>
  <c r="AB94" i="21" s="1"/>
  <c r="AB95" i="21" s="1"/>
  <c r="AB96" i="21" s="1"/>
  <c r="AB97" i="21" s="1"/>
  <c r="AB98" i="21" s="1"/>
  <c r="AB99" i="21" s="1"/>
  <c r="AB100" i="21" s="1"/>
  <c r="AB101" i="21" s="1"/>
  <c r="AB102" i="21" s="1"/>
  <c r="AB103" i="21" s="1"/>
  <c r="AB104" i="21" s="1"/>
  <c r="AB105" i="21" s="1"/>
  <c r="AB106" i="21" s="1"/>
  <c r="AB107" i="21" s="1"/>
  <c r="AB108" i="21" s="1"/>
  <c r="AB109" i="21" s="1"/>
  <c r="AB110" i="21" s="1"/>
  <c r="AB111" i="21" s="1"/>
  <c r="AB112" i="21" s="1"/>
  <c r="AB113" i="21" s="1"/>
  <c r="AB114" i="21" s="1"/>
  <c r="AB115" i="21" s="1"/>
  <c r="AB116" i="21" s="1"/>
  <c r="AB117" i="21" s="1"/>
  <c r="AB118" i="21" s="1"/>
  <c r="AB119" i="21" s="1"/>
  <c r="AB120" i="21" s="1"/>
  <c r="AB121" i="21" s="1"/>
  <c r="AB122" i="21" s="1"/>
  <c r="AB123" i="21" s="1"/>
  <c r="AB124" i="21" s="1"/>
  <c r="AB125" i="21" s="1"/>
  <c r="AB126" i="21" s="1"/>
  <c r="AB127" i="21" s="1"/>
  <c r="AB128" i="21" s="1"/>
  <c r="AB129" i="21" s="1"/>
  <c r="AB130" i="21" s="1"/>
  <c r="AB131" i="21" s="1"/>
  <c r="AB132" i="21" s="1"/>
  <c r="AB133" i="21" s="1"/>
  <c r="AB134" i="21" s="1"/>
  <c r="AB135" i="21" s="1"/>
  <c r="AB136" i="21" s="1"/>
  <c r="AB137" i="21" s="1"/>
  <c r="AB138" i="21" s="1"/>
  <c r="AB139" i="21" s="1"/>
  <c r="AB140" i="21" s="1"/>
  <c r="AB141" i="21" s="1"/>
  <c r="AB142" i="21" s="1"/>
  <c r="AB143" i="21" s="1"/>
  <c r="AB144" i="21" s="1"/>
  <c r="AB145" i="21" s="1"/>
  <c r="AB146" i="21" s="1"/>
  <c r="AB147" i="21" s="1"/>
  <c r="AB148" i="21" s="1"/>
  <c r="AB149" i="21" s="1"/>
  <c r="AB150" i="21" s="1"/>
  <c r="AB151" i="21" s="1"/>
  <c r="AB152" i="21" s="1"/>
  <c r="AB153" i="21" s="1"/>
  <c r="AB154" i="21" s="1"/>
  <c r="AB155" i="21" s="1"/>
  <c r="AB156" i="21" s="1"/>
  <c r="AB157" i="21" s="1"/>
  <c r="AB158" i="21" s="1"/>
  <c r="AB159" i="21" s="1"/>
  <c r="AB160" i="21" s="1"/>
  <c r="AB161" i="21" s="1"/>
  <c r="AB162" i="21" s="1"/>
  <c r="AB163" i="21" s="1"/>
  <c r="AB164" i="21" s="1"/>
  <c r="U71" i="21"/>
  <c r="U68" i="21"/>
  <c r="U69" i="21"/>
  <c r="U90" i="21"/>
  <c r="U96" i="21"/>
  <c r="U102" i="21"/>
  <c r="U108" i="21"/>
  <c r="U119" i="21"/>
  <c r="U135" i="21"/>
  <c r="U149" i="21"/>
  <c r="U154" i="21"/>
  <c r="U159" i="21"/>
  <c r="U91" i="21"/>
  <c r="U125" i="21"/>
  <c r="U155" i="21"/>
  <c r="U160" i="21"/>
  <c r="U70" i="21"/>
  <c r="U77" i="21"/>
  <c r="U84" i="21"/>
  <c r="U114" i="21"/>
  <c r="U130" i="21"/>
  <c r="U140" i="21"/>
  <c r="U164" i="21"/>
  <c r="U103" i="21"/>
  <c r="U145" i="21"/>
  <c r="U150" i="21"/>
  <c r="U78" i="21"/>
  <c r="U97" i="21"/>
  <c r="U109" i="21"/>
  <c r="U120" i="21"/>
  <c r="U85" i="21"/>
  <c r="U115" i="21"/>
  <c r="U131" i="21"/>
  <c r="U136" i="21"/>
  <c r="U72" i="21"/>
  <c r="U79" i="21"/>
  <c r="U86" i="21"/>
  <c r="U92" i="21"/>
  <c r="U98" i="21"/>
  <c r="U104" i="21"/>
  <c r="U110" i="21"/>
  <c r="U126" i="21"/>
  <c r="U141" i="21"/>
  <c r="U146" i="21"/>
  <c r="U151" i="21"/>
  <c r="U112" i="21"/>
  <c r="U128" i="21"/>
  <c r="U138" i="21"/>
  <c r="U123" i="21"/>
  <c r="U124" i="21"/>
  <c r="U65" i="21"/>
  <c r="U116" i="21"/>
  <c r="U121" i="21"/>
  <c r="U132" i="21"/>
  <c r="U156" i="21"/>
  <c r="U64" i="21"/>
  <c r="U100" i="21"/>
  <c r="U143" i="21"/>
  <c r="U129" i="21"/>
  <c r="U73" i="21"/>
  <c r="U80" i="21"/>
  <c r="U87" i="21"/>
  <c r="U93" i="21"/>
  <c r="U99" i="21"/>
  <c r="U105" i="21"/>
  <c r="U111" i="21"/>
  <c r="U127" i="21"/>
  <c r="U137" i="21"/>
  <c r="U142" i="21"/>
  <c r="U147" i="21"/>
  <c r="U161" i="21"/>
  <c r="U66" i="21"/>
  <c r="U74" i="21"/>
  <c r="U122" i="21"/>
  <c r="U152" i="21"/>
  <c r="U106" i="21"/>
  <c r="U133" i="21"/>
  <c r="U157" i="21"/>
  <c r="U148" i="21"/>
  <c r="U83" i="21"/>
  <c r="U113" i="21"/>
  <c r="U144" i="21"/>
  <c r="U81" i="21"/>
  <c r="U88" i="21"/>
  <c r="U94" i="21"/>
  <c r="U117" i="21"/>
  <c r="U162" i="21"/>
  <c r="U67" i="21"/>
  <c r="U75" i="21"/>
  <c r="U82" i="21"/>
  <c r="U89" i="21"/>
  <c r="U95" i="21"/>
  <c r="U101" i="21"/>
  <c r="U107" i="21"/>
  <c r="U118" i="21"/>
  <c r="U134" i="21"/>
  <c r="U139" i="21"/>
  <c r="U153" i="21"/>
  <c r="U158" i="21"/>
  <c r="U163" i="21"/>
  <c r="U76" i="21"/>
  <c r="AM105" i="22"/>
  <c r="AL33" i="22"/>
  <c r="Y9" i="21"/>
  <c r="Y8" i="21"/>
  <c r="L93" i="21"/>
  <c r="L82" i="21"/>
  <c r="L83" i="21"/>
  <c r="L92" i="21"/>
  <c r="M97" i="21"/>
  <c r="L88" i="21"/>
  <c r="L84" i="21"/>
  <c r="L97" i="21"/>
  <c r="K59" i="24" s="1"/>
  <c r="K83" i="24" s="1"/>
  <c r="L86" i="21"/>
  <c r="L85" i="21"/>
  <c r="L91" i="21"/>
  <c r="L87" i="21"/>
  <c r="W17" i="21"/>
  <c r="H5" i="21" s="1"/>
  <c r="H51" i="21"/>
  <c r="AL105" i="22"/>
  <c r="AS105" i="22"/>
  <c r="AZ105" i="22"/>
  <c r="AQ105" i="22"/>
  <c r="AT105" i="22"/>
  <c r="BA105" i="22"/>
  <c r="AP105" i="22"/>
  <c r="AU105" i="22"/>
  <c r="AO105" i="22"/>
  <c r="AV105" i="22"/>
  <c r="BC105" i="22"/>
  <c r="AN105" i="22"/>
  <c r="AW105" i="22"/>
  <c r="BD105" i="22"/>
  <c r="BB105" i="22"/>
  <c r="AX105" i="22"/>
  <c r="D101" i="22"/>
  <c r="T98" i="22"/>
  <c r="L99" i="22"/>
  <c r="L101" i="22"/>
  <c r="T99" i="22"/>
  <c r="L98" i="22"/>
  <c r="D100" i="22"/>
  <c r="T102" i="22"/>
  <c r="D99" i="22"/>
  <c r="T101" i="22"/>
  <c r="D102" i="22"/>
  <c r="L100" i="22"/>
  <c r="D98" i="22"/>
  <c r="T100" i="22"/>
  <c r="L102" i="22"/>
  <c r="D19" i="24"/>
  <c r="BB33" i="22"/>
  <c r="AU33" i="22"/>
  <c r="AP33" i="22"/>
  <c r="BA33" i="22"/>
  <c r="AT33" i="22"/>
  <c r="AQ33" i="22"/>
  <c r="AZ33" i="22"/>
  <c r="AS33" i="22"/>
  <c r="BE33" i="22"/>
  <c r="AX33" i="22"/>
  <c r="AM33" i="22"/>
  <c r="BD33" i="22"/>
  <c r="AW33" i="22"/>
  <c r="AN33" i="22"/>
  <c r="BC33" i="22"/>
  <c r="AV33" i="22"/>
  <c r="AO33" i="22"/>
  <c r="BB66" i="22"/>
  <c r="AU66" i="22"/>
  <c r="AP66" i="22"/>
  <c r="BA66" i="22"/>
  <c r="AT66" i="22"/>
  <c r="AQ66" i="22"/>
  <c r="AZ66" i="22"/>
  <c r="AS66" i="22"/>
  <c r="AL66" i="22"/>
  <c r="BE66" i="22"/>
  <c r="AX66" i="22"/>
  <c r="AM66" i="22"/>
  <c r="BD66" i="22"/>
  <c r="AW66" i="22"/>
  <c r="AN66" i="22"/>
  <c r="BC66" i="22"/>
  <c r="AV66" i="22"/>
  <c r="AO66" i="22"/>
  <c r="F111" i="21" l="1"/>
  <c r="D111" i="21"/>
  <c r="AF100" i="21"/>
  <c r="X100" i="21"/>
  <c r="AF95" i="21"/>
  <c r="X95" i="21"/>
  <c r="T111" i="22"/>
  <c r="W50" i="24" s="1"/>
  <c r="T120" i="22"/>
  <c r="T129" i="22"/>
  <c r="X148" i="21"/>
  <c r="AF148" i="21"/>
  <c r="AF156" i="21"/>
  <c r="X156" i="21"/>
  <c r="T107" i="22"/>
  <c r="T125" i="22"/>
  <c r="T116" i="22"/>
  <c r="AF82" i="21"/>
  <c r="X82" i="21"/>
  <c r="AF157" i="21"/>
  <c r="X157" i="21"/>
  <c r="AF111" i="21"/>
  <c r="X111" i="21"/>
  <c r="AF132" i="21"/>
  <c r="X132" i="21"/>
  <c r="AF126" i="21"/>
  <c r="X126" i="21"/>
  <c r="AF120" i="21"/>
  <c r="X120" i="21"/>
  <c r="X77" i="21"/>
  <c r="AF77" i="21"/>
  <c r="AF102" i="21"/>
  <c r="X102" i="21"/>
  <c r="L108" i="22"/>
  <c r="L126" i="22"/>
  <c r="L117" i="22"/>
  <c r="AF130" i="21"/>
  <c r="X130" i="21"/>
  <c r="AF76" i="21"/>
  <c r="X76" i="21"/>
  <c r="X75" i="21"/>
  <c r="AF75" i="21"/>
  <c r="AF133" i="21"/>
  <c r="X133" i="21"/>
  <c r="AF105" i="21"/>
  <c r="X105" i="21"/>
  <c r="AF121" i="21"/>
  <c r="X121" i="21"/>
  <c r="X110" i="21"/>
  <c r="AF110" i="21"/>
  <c r="AF109" i="21"/>
  <c r="X109" i="21"/>
  <c r="AF70" i="21"/>
  <c r="X70" i="21"/>
  <c r="AF96" i="21"/>
  <c r="X96" i="21"/>
  <c r="T109" i="22"/>
  <c r="W48" i="24" s="1"/>
  <c r="T118" i="22"/>
  <c r="T127" i="22"/>
  <c r="AF146" i="21"/>
  <c r="X146" i="21"/>
  <c r="AF163" i="21"/>
  <c r="X163" i="21"/>
  <c r="AF116" i="21"/>
  <c r="X116" i="21"/>
  <c r="X160" i="21"/>
  <c r="AF160" i="21"/>
  <c r="AF90" i="21"/>
  <c r="X90" i="21"/>
  <c r="D109" i="22"/>
  <c r="D127" i="22"/>
  <c r="D118" i="22"/>
  <c r="AF142" i="21"/>
  <c r="X142" i="21"/>
  <c r="AF137" i="21"/>
  <c r="X137" i="21"/>
  <c r="X141" i="21"/>
  <c r="AF141" i="21"/>
  <c r="AF162" i="21"/>
  <c r="X162" i="21"/>
  <c r="AF152" i="21"/>
  <c r="X152" i="21"/>
  <c r="X93" i="21"/>
  <c r="AF93" i="21"/>
  <c r="X65" i="21"/>
  <c r="AF65" i="21"/>
  <c r="X98" i="21"/>
  <c r="AF98" i="21"/>
  <c r="X78" i="21"/>
  <c r="AF78" i="21"/>
  <c r="AF155" i="21"/>
  <c r="X155" i="21"/>
  <c r="X69" i="21"/>
  <c r="AF69" i="21"/>
  <c r="L107" i="22"/>
  <c r="L116" i="22"/>
  <c r="L125" i="22"/>
  <c r="AF119" i="21"/>
  <c r="X119" i="21"/>
  <c r="AF85" i="21"/>
  <c r="X85" i="21"/>
  <c r="AF106" i="21"/>
  <c r="X106" i="21"/>
  <c r="AF99" i="21"/>
  <c r="X99" i="21"/>
  <c r="X158" i="21"/>
  <c r="AF158" i="21"/>
  <c r="X153" i="21"/>
  <c r="AF153" i="21"/>
  <c r="X117" i="21"/>
  <c r="AF117" i="21"/>
  <c r="AF122" i="21"/>
  <c r="X122" i="21"/>
  <c r="AF87" i="21"/>
  <c r="X87" i="21"/>
  <c r="X124" i="21"/>
  <c r="AF124" i="21"/>
  <c r="AF92" i="21"/>
  <c r="X92" i="21"/>
  <c r="AF150" i="21"/>
  <c r="X150" i="21"/>
  <c r="AF125" i="21"/>
  <c r="X125" i="21"/>
  <c r="AF68" i="21"/>
  <c r="X68" i="21"/>
  <c r="L111" i="22"/>
  <c r="L120" i="22"/>
  <c r="L129" i="22"/>
  <c r="AF101" i="21"/>
  <c r="X101" i="21"/>
  <c r="X131" i="21"/>
  <c r="AF131" i="21"/>
  <c r="AF83" i="21"/>
  <c r="X83" i="21"/>
  <c r="AF114" i="21"/>
  <c r="X114" i="21"/>
  <c r="AF89" i="21"/>
  <c r="X89" i="21"/>
  <c r="AF108" i="21"/>
  <c r="X108" i="21"/>
  <c r="AF104" i="21"/>
  <c r="X104" i="21"/>
  <c r="AF139" i="21"/>
  <c r="X139" i="21"/>
  <c r="AF94" i="21"/>
  <c r="X94" i="21"/>
  <c r="X74" i="21"/>
  <c r="AF74" i="21"/>
  <c r="AF80" i="21"/>
  <c r="X80" i="21"/>
  <c r="AF123" i="21"/>
  <c r="X123" i="21"/>
  <c r="X86" i="21"/>
  <c r="AF86" i="21"/>
  <c r="AF145" i="21"/>
  <c r="X145" i="21"/>
  <c r="AF91" i="21"/>
  <c r="X91" i="21"/>
  <c r="X71" i="21"/>
  <c r="AF71" i="21"/>
  <c r="T110" i="22"/>
  <c r="T119" i="22"/>
  <c r="T128" i="22"/>
  <c r="AF151" i="21"/>
  <c r="X151" i="21"/>
  <c r="AF115" i="21"/>
  <c r="X115" i="21"/>
  <c r="AF127" i="21"/>
  <c r="X127" i="21"/>
  <c r="AF84" i="21"/>
  <c r="X84" i="21"/>
  <c r="X67" i="21"/>
  <c r="AF67" i="21"/>
  <c r="X97" i="21"/>
  <c r="AF97" i="21"/>
  <c r="W68" i="21"/>
  <c r="W72" i="21"/>
  <c r="W76" i="21"/>
  <c r="W80" i="21"/>
  <c r="W84" i="21"/>
  <c r="W88" i="21"/>
  <c r="W92" i="21"/>
  <c r="W96" i="21"/>
  <c r="W100" i="21"/>
  <c r="W104" i="21"/>
  <c r="W108" i="21"/>
  <c r="W73" i="21"/>
  <c r="W77" i="21"/>
  <c r="W81" i="21"/>
  <c r="W85" i="21"/>
  <c r="W65" i="21"/>
  <c r="W74" i="21"/>
  <c r="W78" i="21"/>
  <c r="W82" i="21"/>
  <c r="W86" i="21"/>
  <c r="W90" i="21"/>
  <c r="W94" i="21"/>
  <c r="W98" i="21"/>
  <c r="W102" i="21"/>
  <c r="W106" i="21"/>
  <c r="W110" i="21"/>
  <c r="W114" i="21"/>
  <c r="W118" i="21"/>
  <c r="W122" i="21"/>
  <c r="W126" i="21"/>
  <c r="W130" i="21"/>
  <c r="W134" i="21"/>
  <c r="W138" i="21"/>
  <c r="W142" i="21"/>
  <c r="W146" i="21"/>
  <c r="W150" i="21"/>
  <c r="W154" i="21"/>
  <c r="W158" i="21"/>
  <c r="W162" i="21"/>
  <c r="W69" i="21"/>
  <c r="W83" i="21"/>
  <c r="W113" i="21"/>
  <c r="W129" i="21"/>
  <c r="W139" i="21"/>
  <c r="W163" i="21"/>
  <c r="W149" i="21"/>
  <c r="W145" i="21"/>
  <c r="W119" i="21"/>
  <c r="W124" i="21"/>
  <c r="W144" i="21"/>
  <c r="W159" i="21"/>
  <c r="W164" i="21"/>
  <c r="W70" i="21"/>
  <c r="W135" i="21"/>
  <c r="W71" i="21"/>
  <c r="W91" i="21"/>
  <c r="W97" i="21"/>
  <c r="W103" i="21"/>
  <c r="W109" i="21"/>
  <c r="W125" i="21"/>
  <c r="W140" i="21"/>
  <c r="W153" i="21"/>
  <c r="W115" i="21"/>
  <c r="W120" i="21"/>
  <c r="W131" i="21"/>
  <c r="W155" i="21"/>
  <c r="W64" i="21"/>
  <c r="W160" i="21"/>
  <c r="W156" i="21"/>
  <c r="W89" i="21"/>
  <c r="W79" i="21"/>
  <c r="W136" i="21"/>
  <c r="W141" i="21"/>
  <c r="W133" i="21"/>
  <c r="W152" i="21"/>
  <c r="W95" i="21"/>
  <c r="W121" i="21"/>
  <c r="W151" i="21"/>
  <c r="W93" i="21"/>
  <c r="W99" i="21"/>
  <c r="W105" i="21"/>
  <c r="W111" i="21"/>
  <c r="W116" i="21"/>
  <c r="W127" i="21"/>
  <c r="W132" i="21"/>
  <c r="W137" i="21"/>
  <c r="W161" i="21"/>
  <c r="W147" i="21"/>
  <c r="W117" i="21"/>
  <c r="W87" i="21"/>
  <c r="W66" i="21"/>
  <c r="W148" i="21"/>
  <c r="W157" i="21"/>
  <c r="W67" i="21"/>
  <c r="W75" i="21"/>
  <c r="W112" i="21"/>
  <c r="W123" i="21"/>
  <c r="W128" i="21"/>
  <c r="W143" i="21"/>
  <c r="W101" i="21"/>
  <c r="W107" i="21"/>
  <c r="X134" i="21"/>
  <c r="AF134" i="21"/>
  <c r="AF88" i="21"/>
  <c r="X88" i="21"/>
  <c r="AF66" i="21"/>
  <c r="X66" i="21"/>
  <c r="X73" i="21"/>
  <c r="AF73" i="21"/>
  <c r="AF138" i="21"/>
  <c r="X138" i="21"/>
  <c r="X79" i="21"/>
  <c r="AF79" i="21"/>
  <c r="AF103" i="21"/>
  <c r="X103" i="21"/>
  <c r="AF159" i="21"/>
  <c r="X159" i="21"/>
  <c r="D107" i="22"/>
  <c r="D125" i="22"/>
  <c r="D116" i="22"/>
  <c r="D110" i="22"/>
  <c r="D128" i="22"/>
  <c r="D119" i="22"/>
  <c r="AF118" i="21"/>
  <c r="X118" i="21"/>
  <c r="X81" i="21"/>
  <c r="AF81" i="21"/>
  <c r="AF161" i="21"/>
  <c r="X161" i="21"/>
  <c r="X129" i="21"/>
  <c r="AF129" i="21"/>
  <c r="AF128" i="21"/>
  <c r="X128" i="21"/>
  <c r="AF72" i="21"/>
  <c r="X72" i="21"/>
  <c r="X164" i="21"/>
  <c r="AF164" i="21"/>
  <c r="X154" i="21"/>
  <c r="AF154" i="21"/>
  <c r="D111" i="22"/>
  <c r="D120" i="22"/>
  <c r="D129" i="22"/>
  <c r="L109" i="22"/>
  <c r="L127" i="22"/>
  <c r="L118" i="22"/>
  <c r="AF107" i="21"/>
  <c r="X107" i="21"/>
  <c r="AF144" i="21"/>
  <c r="X144" i="21"/>
  <c r="AF147" i="21"/>
  <c r="X147" i="21"/>
  <c r="AF143" i="21"/>
  <c r="X143" i="21"/>
  <c r="AF112" i="21"/>
  <c r="X112" i="21"/>
  <c r="X136" i="21"/>
  <c r="AF136" i="21"/>
  <c r="X140" i="21"/>
  <c r="AF140" i="21"/>
  <c r="AF149" i="21"/>
  <c r="X149" i="21"/>
  <c r="L110" i="22"/>
  <c r="L128" i="22"/>
  <c r="L119" i="22"/>
  <c r="T108" i="22"/>
  <c r="T117" i="22"/>
  <c r="T126" i="22"/>
  <c r="AF135" i="21"/>
  <c r="X135" i="21"/>
  <c r="D108" i="22"/>
  <c r="D126" i="22"/>
  <c r="D117" i="22"/>
  <c r="D134" i="22"/>
  <c r="D194" i="22" s="1"/>
  <c r="T138" i="22"/>
  <c r="T198" i="22" s="1"/>
  <c r="L137" i="22"/>
  <c r="L197" i="22" s="1"/>
  <c r="T137" i="22"/>
  <c r="T197" i="22" s="1"/>
  <c r="L136" i="22"/>
  <c r="L196" i="22" s="1"/>
  <c r="T136" i="22"/>
  <c r="T196" i="22" s="1"/>
  <c r="L135" i="22"/>
  <c r="L195" i="22" s="1"/>
  <c r="D135" i="22"/>
  <c r="D136" i="22"/>
  <c r="D137" i="22"/>
  <c r="T135" i="22"/>
  <c r="T195" i="22" s="1"/>
  <c r="L134" i="22"/>
  <c r="L194" i="22" s="1"/>
  <c r="T134" i="22"/>
  <c r="T194" i="22" s="1"/>
  <c r="D138" i="22"/>
  <c r="D105" i="21"/>
  <c r="L138" i="22"/>
  <c r="L198" i="22" s="1"/>
  <c r="AF113" i="21"/>
  <c r="X113" i="21"/>
  <c r="AF64" i="21"/>
  <c r="AI64" i="21" s="1"/>
  <c r="X64" i="21"/>
  <c r="AA64" i="21" s="1"/>
  <c r="D146" i="22"/>
  <c r="D145" i="22"/>
  <c r="T143" i="22"/>
  <c r="L147" i="22"/>
  <c r="T147" i="22"/>
  <c r="L146" i="22"/>
  <c r="T146" i="22"/>
  <c r="L145" i="22"/>
  <c r="T145" i="22"/>
  <c r="L144" i="22"/>
  <c r="G105" i="21"/>
  <c r="D144" i="22"/>
  <c r="D147" i="22"/>
  <c r="D143" i="22"/>
  <c r="T144" i="22"/>
  <c r="L143" i="22"/>
  <c r="P59" i="24"/>
  <c r="J14" i="22"/>
  <c r="R59" i="24"/>
  <c r="M59" i="24"/>
  <c r="M83" i="24" s="1"/>
  <c r="M88" i="24" s="1"/>
  <c r="L59" i="24"/>
  <c r="L83" i="24" s="1"/>
  <c r="L87" i="24" s="1"/>
  <c r="Q59" i="24"/>
  <c r="N92" i="21"/>
  <c r="N87" i="21"/>
  <c r="C100" i="21"/>
  <c r="AB61" i="24" s="1"/>
  <c r="M81" i="24" s="1"/>
  <c r="N83" i="21"/>
  <c r="N82" i="21"/>
  <c r="N91" i="21"/>
  <c r="N86" i="21"/>
  <c r="N93" i="21"/>
  <c r="N88" i="21"/>
  <c r="N85" i="21"/>
  <c r="N84" i="21"/>
  <c r="L103" i="21"/>
  <c r="M103" i="21" s="1"/>
  <c r="C106" i="21" s="1"/>
  <c r="F106" i="21"/>
  <c r="BD110" i="22"/>
  <c r="S4" i="23" s="1"/>
  <c r="BB110" i="22"/>
  <c r="S2" i="23" s="1"/>
  <c r="AQ110" i="22"/>
  <c r="Q8" i="23" s="1"/>
  <c r="AM110" i="22"/>
  <c r="Q67" i="23" s="1"/>
  <c r="AW110" i="22"/>
  <c r="R218" i="23" s="1"/>
  <c r="AX110" i="22"/>
  <c r="R236" i="23" s="1"/>
  <c r="K87" i="24"/>
  <c r="K88" i="24"/>
  <c r="BA110" i="22"/>
  <c r="S102" i="23" s="1"/>
  <c r="AU110" i="22"/>
  <c r="R124" i="23" s="1"/>
  <c r="AT110" i="22"/>
  <c r="R138" i="23" s="1"/>
  <c r="AZ110" i="22"/>
  <c r="S131" i="23" s="1"/>
  <c r="AO110" i="22"/>
  <c r="Q227" i="23" s="1"/>
  <c r="AV110" i="22"/>
  <c r="R156" i="23" s="1"/>
  <c r="AP110" i="22"/>
  <c r="Q198" i="23" s="1"/>
  <c r="AS110" i="22"/>
  <c r="R189" i="23" s="1"/>
  <c r="BC110" i="22"/>
  <c r="S110" i="23" s="1"/>
  <c r="BE110" i="22"/>
  <c r="S91" i="23" s="1"/>
  <c r="AN110" i="22"/>
  <c r="Q134" i="23" s="1"/>
  <c r="AL110" i="22"/>
  <c r="Q111" i="23" s="1"/>
  <c r="S81" i="23" l="1"/>
  <c r="S182" i="23"/>
  <c r="S125" i="23"/>
  <c r="AA65" i="21"/>
  <c r="AA66" i="21" s="1"/>
  <c r="AA67" i="21" s="1"/>
  <c r="AA68" i="21" s="1"/>
  <c r="AA69" i="21" s="1"/>
  <c r="AA70" i="21" s="1"/>
  <c r="AA71" i="21" s="1"/>
  <c r="AA72" i="21" s="1"/>
  <c r="AA73" i="21" s="1"/>
  <c r="AA74" i="21" s="1"/>
  <c r="AA75" i="21" s="1"/>
  <c r="AA76" i="21" s="1"/>
  <c r="AA77" i="21" s="1"/>
  <c r="AA78" i="21" s="1"/>
  <c r="AA79" i="21" s="1"/>
  <c r="AA80" i="21" s="1"/>
  <c r="AA81" i="21" s="1"/>
  <c r="AA82" i="21" s="1"/>
  <c r="AA83" i="21" s="1"/>
  <c r="AA84" i="21" s="1"/>
  <c r="AA85" i="21" s="1"/>
  <c r="AA86" i="21" s="1"/>
  <c r="AA87" i="21" s="1"/>
  <c r="AA88" i="21" s="1"/>
  <c r="AA89" i="21" s="1"/>
  <c r="AA90" i="21" s="1"/>
  <c r="AA91" i="21" s="1"/>
  <c r="AA92" i="21" s="1"/>
  <c r="AA93" i="21" s="1"/>
  <c r="AA94" i="21" s="1"/>
  <c r="AA95" i="21" s="1"/>
  <c r="AA96" i="21" s="1"/>
  <c r="AA97" i="21" s="1"/>
  <c r="AA98" i="21" s="1"/>
  <c r="AA99" i="21" s="1"/>
  <c r="AA100" i="21" s="1"/>
  <c r="AA101" i="21" s="1"/>
  <c r="AA102" i="21" s="1"/>
  <c r="AA103" i="21" s="1"/>
  <c r="AA104" i="21" s="1"/>
  <c r="AA105" i="21" s="1"/>
  <c r="AA106" i="21" s="1"/>
  <c r="AA107" i="21" s="1"/>
  <c r="AA108" i="21" s="1"/>
  <c r="AA109" i="21" s="1"/>
  <c r="AA110" i="21" s="1"/>
  <c r="AA111" i="21" s="1"/>
  <c r="AA112" i="21" s="1"/>
  <c r="AA113" i="21" s="1"/>
  <c r="AA114" i="21" s="1"/>
  <c r="AA115" i="21" s="1"/>
  <c r="AA116" i="21" s="1"/>
  <c r="AA117" i="21" s="1"/>
  <c r="AA118" i="21" s="1"/>
  <c r="AA119" i="21" s="1"/>
  <c r="AA120" i="21" s="1"/>
  <c r="AA121" i="21" s="1"/>
  <c r="AA122" i="21" s="1"/>
  <c r="AA123" i="21" s="1"/>
  <c r="AA124" i="21" s="1"/>
  <c r="AA125" i="21" s="1"/>
  <c r="AA126" i="21" s="1"/>
  <c r="AA127" i="21" s="1"/>
  <c r="AA128" i="21" s="1"/>
  <c r="AA129" i="21" s="1"/>
  <c r="AA130" i="21" s="1"/>
  <c r="AA131" i="21" s="1"/>
  <c r="AA132" i="21" s="1"/>
  <c r="AA133" i="21" s="1"/>
  <c r="AA134" i="21" s="1"/>
  <c r="AA135" i="21" s="1"/>
  <c r="AA136" i="21" s="1"/>
  <c r="AA137" i="21" s="1"/>
  <c r="AA138" i="21" s="1"/>
  <c r="AA139" i="21" s="1"/>
  <c r="AA140" i="21" s="1"/>
  <c r="AA141" i="21" s="1"/>
  <c r="AA142" i="21" s="1"/>
  <c r="AA143" i="21" s="1"/>
  <c r="AA144" i="21" s="1"/>
  <c r="AA145" i="21" s="1"/>
  <c r="AA146" i="21" s="1"/>
  <c r="AA147" i="21" s="1"/>
  <c r="AA148" i="21" s="1"/>
  <c r="AA149" i="21" s="1"/>
  <c r="AA150" i="21" s="1"/>
  <c r="AA151" i="21" s="1"/>
  <c r="AA152" i="21" s="1"/>
  <c r="AA153" i="21" s="1"/>
  <c r="AA154" i="21" s="1"/>
  <c r="AA155" i="21" s="1"/>
  <c r="AA156" i="21" s="1"/>
  <c r="AA157" i="21" s="1"/>
  <c r="AA158" i="21" s="1"/>
  <c r="AA159" i="21" s="1"/>
  <c r="AA160" i="21" s="1"/>
  <c r="AA161" i="21" s="1"/>
  <c r="AA162" i="21" s="1"/>
  <c r="AA163" i="21" s="1"/>
  <c r="AA164" i="21" s="1"/>
  <c r="D106" i="21" s="1"/>
  <c r="AI65" i="21"/>
  <c r="AI66" i="21" s="1"/>
  <c r="AI67" i="21" s="1"/>
  <c r="AI68" i="21" s="1"/>
  <c r="AI69" i="21" s="1"/>
  <c r="AI70" i="21" s="1"/>
  <c r="AI71" i="21" s="1"/>
  <c r="AI72" i="21" s="1"/>
  <c r="AI73" i="21" s="1"/>
  <c r="AI74" i="21" s="1"/>
  <c r="AI75" i="21" s="1"/>
  <c r="AI76" i="21" s="1"/>
  <c r="AI77" i="21" s="1"/>
  <c r="AI78" i="21" s="1"/>
  <c r="AI79" i="21" s="1"/>
  <c r="AI80" i="21" s="1"/>
  <c r="AI81" i="21" s="1"/>
  <c r="AI82" i="21" s="1"/>
  <c r="AI83" i="21" s="1"/>
  <c r="AI84" i="21" s="1"/>
  <c r="AI85" i="21" s="1"/>
  <c r="AI86" i="21" s="1"/>
  <c r="AI87" i="21" s="1"/>
  <c r="AI88" i="21" s="1"/>
  <c r="AI89" i="21" s="1"/>
  <c r="AI90" i="21" s="1"/>
  <c r="AI91" i="21" s="1"/>
  <c r="AI92" i="21" s="1"/>
  <c r="AI93" i="21" s="1"/>
  <c r="AI94" i="21" s="1"/>
  <c r="AI95" i="21" s="1"/>
  <c r="AI96" i="21" s="1"/>
  <c r="AI97" i="21" s="1"/>
  <c r="AI98" i="21" s="1"/>
  <c r="AI99" i="21" s="1"/>
  <c r="AI100" i="21" s="1"/>
  <c r="AI101" i="21" s="1"/>
  <c r="AI102" i="21" s="1"/>
  <c r="AI103" i="21" s="1"/>
  <c r="AI104" i="21" s="1"/>
  <c r="AI105" i="21" s="1"/>
  <c r="AI106" i="21" s="1"/>
  <c r="AI107" i="21" s="1"/>
  <c r="AI108" i="21" s="1"/>
  <c r="AI109" i="21" s="1"/>
  <c r="AI110" i="21" s="1"/>
  <c r="AI111" i="21" s="1"/>
  <c r="AI112" i="21" s="1"/>
  <c r="AI113" i="21" s="1"/>
  <c r="AI114" i="21" s="1"/>
  <c r="AI115" i="21" s="1"/>
  <c r="AI116" i="21" s="1"/>
  <c r="AI117" i="21" s="1"/>
  <c r="AI118" i="21" s="1"/>
  <c r="AI119" i="21" s="1"/>
  <c r="AI120" i="21" s="1"/>
  <c r="AI121" i="21" s="1"/>
  <c r="AI122" i="21" s="1"/>
  <c r="AI123" i="21" s="1"/>
  <c r="AI124" i="21" s="1"/>
  <c r="AI125" i="21" s="1"/>
  <c r="AI126" i="21" s="1"/>
  <c r="AI127" i="21" s="1"/>
  <c r="AI128" i="21" s="1"/>
  <c r="AI129" i="21" s="1"/>
  <c r="AI130" i="21" s="1"/>
  <c r="AI131" i="21" s="1"/>
  <c r="AI132" i="21" s="1"/>
  <c r="AI133" i="21" s="1"/>
  <c r="AI134" i="21" s="1"/>
  <c r="AI135" i="21" s="1"/>
  <c r="AI136" i="21" s="1"/>
  <c r="AI137" i="21" s="1"/>
  <c r="AI138" i="21" s="1"/>
  <c r="AI139" i="21" s="1"/>
  <c r="AI140" i="21" s="1"/>
  <c r="AI141" i="21" s="1"/>
  <c r="AI142" i="21" s="1"/>
  <c r="AI143" i="21" s="1"/>
  <c r="AI144" i="21" s="1"/>
  <c r="AI145" i="21" s="1"/>
  <c r="AI146" i="21" s="1"/>
  <c r="AI147" i="21" s="1"/>
  <c r="AI148" i="21" s="1"/>
  <c r="AI149" i="21" s="1"/>
  <c r="AI150" i="21" s="1"/>
  <c r="AI151" i="21" s="1"/>
  <c r="AI152" i="21" s="1"/>
  <c r="AI153" i="21" s="1"/>
  <c r="AI154" i="21" s="1"/>
  <c r="AI155" i="21" s="1"/>
  <c r="AI156" i="21" s="1"/>
  <c r="AI157" i="21" s="1"/>
  <c r="AI158" i="21" s="1"/>
  <c r="AI159" i="21" s="1"/>
  <c r="AI160" i="21" s="1"/>
  <c r="AI161" i="21" s="1"/>
  <c r="AI162" i="21" s="1"/>
  <c r="AI163" i="21" s="1"/>
  <c r="AI164" i="21" s="1"/>
  <c r="S145" i="22" s="1"/>
  <c r="V205" i="22" s="1"/>
  <c r="AH160" i="21"/>
  <c r="Z160" i="21"/>
  <c r="AH86" i="21"/>
  <c r="Z86" i="21"/>
  <c r="AH66" i="21"/>
  <c r="Z66" i="21"/>
  <c r="AH93" i="21"/>
  <c r="Z93" i="21"/>
  <c r="Z64" i="21"/>
  <c r="AC64" i="21" s="1"/>
  <c r="AH64" i="21"/>
  <c r="AK64" i="21" s="1"/>
  <c r="AH71" i="21"/>
  <c r="Z71" i="21"/>
  <c r="AH129" i="21"/>
  <c r="Z129" i="21"/>
  <c r="AH130" i="21"/>
  <c r="Z130" i="21"/>
  <c r="AH82" i="21"/>
  <c r="Z82" i="21"/>
  <c r="AH92" i="21"/>
  <c r="Z92" i="21"/>
  <c r="AH87" i="21"/>
  <c r="Z87" i="21"/>
  <c r="AH151" i="21"/>
  <c r="Z151" i="21"/>
  <c r="AH155" i="21"/>
  <c r="Z155" i="21"/>
  <c r="AH135" i="21"/>
  <c r="Z135" i="21"/>
  <c r="AH113" i="21"/>
  <c r="Z113" i="21"/>
  <c r="AH126" i="21"/>
  <c r="Z126" i="21"/>
  <c r="Z78" i="21"/>
  <c r="AH78" i="21"/>
  <c r="AH88" i="21"/>
  <c r="Z88" i="21"/>
  <c r="AH99" i="21"/>
  <c r="Z99" i="21"/>
  <c r="AH107" i="21"/>
  <c r="Z107" i="21"/>
  <c r="AH131" i="21"/>
  <c r="Z131" i="21"/>
  <c r="Z70" i="21"/>
  <c r="AH70" i="21"/>
  <c r="AH83" i="21"/>
  <c r="Z83" i="21"/>
  <c r="AH122" i="21"/>
  <c r="Z122" i="21"/>
  <c r="AH74" i="21"/>
  <c r="Z74" i="21"/>
  <c r="AH84" i="21"/>
  <c r="Z84" i="21"/>
  <c r="C101" i="22"/>
  <c r="C102" i="22"/>
  <c r="S101" i="22"/>
  <c r="K100" i="22"/>
  <c r="S102" i="22"/>
  <c r="S100" i="22"/>
  <c r="S99" i="22"/>
  <c r="S98" i="22"/>
  <c r="K102" i="22"/>
  <c r="K101" i="22"/>
  <c r="K99" i="22"/>
  <c r="C99" i="22"/>
  <c r="K98" i="22"/>
  <c r="C100" i="22"/>
  <c r="C98" i="22"/>
  <c r="AH101" i="21"/>
  <c r="Z101" i="21"/>
  <c r="AH95" i="21"/>
  <c r="Z95" i="21"/>
  <c r="AH164" i="21"/>
  <c r="Z164" i="21"/>
  <c r="AH69" i="21"/>
  <c r="Z69" i="21"/>
  <c r="AH118" i="21"/>
  <c r="Z118" i="21"/>
  <c r="AH65" i="21"/>
  <c r="Z65" i="21"/>
  <c r="AH80" i="21"/>
  <c r="Z80" i="21"/>
  <c r="AH143" i="21"/>
  <c r="Z143" i="21"/>
  <c r="AH161" i="21"/>
  <c r="Z161" i="21"/>
  <c r="AH152" i="21"/>
  <c r="Z152" i="21"/>
  <c r="AH115" i="21"/>
  <c r="Z115" i="21"/>
  <c r="AH159" i="21"/>
  <c r="Z159" i="21"/>
  <c r="Z162" i="21"/>
  <c r="AH162" i="21"/>
  <c r="Z114" i="21"/>
  <c r="AH114" i="21"/>
  <c r="AH85" i="21"/>
  <c r="Z85" i="21"/>
  <c r="Z76" i="21"/>
  <c r="AH76" i="21"/>
  <c r="AH139" i="21"/>
  <c r="Z139" i="21"/>
  <c r="AH117" i="21"/>
  <c r="Z117" i="21"/>
  <c r="AH120" i="21"/>
  <c r="Z120" i="21"/>
  <c r="AH128" i="21"/>
  <c r="Z128" i="21"/>
  <c r="AH137" i="21"/>
  <c r="Z137" i="21"/>
  <c r="AH133" i="21"/>
  <c r="Z133" i="21"/>
  <c r="AH153" i="21"/>
  <c r="Z153" i="21"/>
  <c r="AH144" i="21"/>
  <c r="Z144" i="21"/>
  <c r="AH158" i="21"/>
  <c r="Z158" i="21"/>
  <c r="AH110" i="21"/>
  <c r="Z110" i="21"/>
  <c r="AH81" i="21"/>
  <c r="Z81" i="21"/>
  <c r="Z72" i="21"/>
  <c r="AH72" i="21"/>
  <c r="AH91" i="21"/>
  <c r="Z91" i="21"/>
  <c r="AH134" i="21"/>
  <c r="Z134" i="21"/>
  <c r="AH96" i="21"/>
  <c r="Z96" i="21"/>
  <c r="AH121" i="21"/>
  <c r="Z121" i="21"/>
  <c r="AH147" i="21"/>
  <c r="Z147" i="21"/>
  <c r="AH123" i="21"/>
  <c r="Z123" i="21"/>
  <c r="AH132" i="21"/>
  <c r="Z132" i="21"/>
  <c r="AH141" i="21"/>
  <c r="Z141" i="21"/>
  <c r="AH140" i="21"/>
  <c r="Z140" i="21"/>
  <c r="AH124" i="21"/>
  <c r="Z124" i="21"/>
  <c r="AH154" i="21"/>
  <c r="Z154" i="21"/>
  <c r="AH106" i="21"/>
  <c r="Z106" i="21"/>
  <c r="AH77" i="21"/>
  <c r="Z77" i="21"/>
  <c r="AH68" i="21"/>
  <c r="Z68" i="21"/>
  <c r="AH148" i="21"/>
  <c r="Z148" i="21"/>
  <c r="Z112" i="21"/>
  <c r="AH112" i="21"/>
  <c r="AH127" i="21"/>
  <c r="Z127" i="21"/>
  <c r="Z136" i="21"/>
  <c r="AH136" i="21"/>
  <c r="AH125" i="21"/>
  <c r="Z125" i="21"/>
  <c r="AH119" i="21"/>
  <c r="Z119" i="21"/>
  <c r="AH150" i="21"/>
  <c r="Z150" i="21"/>
  <c r="AH102" i="21"/>
  <c r="Z102" i="21"/>
  <c r="AH73" i="21"/>
  <c r="Z73" i="21"/>
  <c r="AH75" i="21"/>
  <c r="Z75" i="21"/>
  <c r="AH116" i="21"/>
  <c r="Z116" i="21"/>
  <c r="AH79" i="21"/>
  <c r="Z79" i="21"/>
  <c r="AH109" i="21"/>
  <c r="Z109" i="21"/>
  <c r="AH145" i="21"/>
  <c r="Z145" i="21"/>
  <c r="AH146" i="21"/>
  <c r="Z146" i="21"/>
  <c r="AH98" i="21"/>
  <c r="Z98" i="21"/>
  <c r="AH108" i="21"/>
  <c r="Z108" i="21"/>
  <c r="AH67" i="21"/>
  <c r="Z67" i="21"/>
  <c r="AH111" i="21"/>
  <c r="Z111" i="21"/>
  <c r="AH89" i="21"/>
  <c r="Z89" i="21"/>
  <c r="AH103" i="21"/>
  <c r="Z103" i="21"/>
  <c r="AH149" i="21"/>
  <c r="Z149" i="21"/>
  <c r="Z142" i="21"/>
  <c r="AH142" i="21"/>
  <c r="AH94" i="21"/>
  <c r="Z94" i="21"/>
  <c r="AH104" i="21"/>
  <c r="Z104" i="21"/>
  <c r="AH157" i="21"/>
  <c r="Z157" i="21"/>
  <c r="AH105" i="21"/>
  <c r="Z105" i="21"/>
  <c r="AH156" i="21"/>
  <c r="Z156" i="21"/>
  <c r="AH97" i="21"/>
  <c r="Z97" i="21"/>
  <c r="AH163" i="21"/>
  <c r="Z163" i="21"/>
  <c r="Z138" i="21"/>
  <c r="AH138" i="21"/>
  <c r="AH90" i="21"/>
  <c r="Z90" i="21"/>
  <c r="AH100" i="21"/>
  <c r="Z100" i="21"/>
  <c r="L88" i="24"/>
  <c r="M87" i="24"/>
  <c r="D195" i="22"/>
  <c r="D198" i="22"/>
  <c r="D197" i="22"/>
  <c r="D196" i="22"/>
  <c r="L61" i="24"/>
  <c r="L85" i="24" s="1"/>
  <c r="L89" i="24" s="1"/>
  <c r="J16" i="22"/>
  <c r="M61" i="24"/>
  <c r="M85" i="24" s="1"/>
  <c r="M89" i="24" s="1"/>
  <c r="Z61" i="24"/>
  <c r="K81" i="24" s="1"/>
  <c r="F107" i="21"/>
  <c r="AA61" i="24"/>
  <c r="L81" i="24" s="1"/>
  <c r="K61" i="24"/>
  <c r="K85" i="24" s="1"/>
  <c r="K89" i="24" s="1"/>
  <c r="L104" i="21"/>
  <c r="M104" i="21" s="1"/>
  <c r="C107" i="21" s="1"/>
  <c r="S68" i="23"/>
  <c r="S193" i="23"/>
  <c r="S163" i="23"/>
  <c r="S78" i="23"/>
  <c r="S62" i="23"/>
  <c r="S203" i="23"/>
  <c r="S183" i="23"/>
  <c r="S48" i="23"/>
  <c r="S210" i="23"/>
  <c r="S65" i="23"/>
  <c r="S158" i="23"/>
  <c r="S166" i="23"/>
  <c r="S32" i="23"/>
  <c r="S123" i="23"/>
  <c r="S66" i="23"/>
  <c r="S214" i="23"/>
  <c r="S126" i="23"/>
  <c r="S74" i="23"/>
  <c r="S55" i="23"/>
  <c r="S216" i="23"/>
  <c r="S209" i="23"/>
  <c r="S140" i="23"/>
  <c r="S47" i="23"/>
  <c r="S49" i="23"/>
  <c r="S208" i="23"/>
  <c r="S92" i="23"/>
  <c r="S159" i="23"/>
  <c r="S34" i="23"/>
  <c r="S206" i="23"/>
  <c r="S168" i="23"/>
  <c r="S121" i="23"/>
  <c r="S41" i="23"/>
  <c r="S174" i="23"/>
  <c r="S43" i="23"/>
  <c r="S133" i="23"/>
  <c r="S207" i="23"/>
  <c r="S175" i="23"/>
  <c r="S170" i="23"/>
  <c r="S56" i="23"/>
  <c r="S95" i="23"/>
  <c r="S143" i="23"/>
  <c r="S171" i="23"/>
  <c r="S99" i="23"/>
  <c r="S24" i="23"/>
  <c r="S200" i="23"/>
  <c r="S93" i="23"/>
  <c r="S120" i="23"/>
  <c r="S167" i="23"/>
  <c r="S176" i="23"/>
  <c r="S153" i="23"/>
  <c r="S205" i="23"/>
  <c r="S152" i="23"/>
  <c r="S72" i="23"/>
  <c r="S180" i="23"/>
  <c r="S39" i="23"/>
  <c r="S80" i="23"/>
  <c r="S238" i="23"/>
  <c r="S10" i="23"/>
  <c r="S70" i="23"/>
  <c r="S77" i="23"/>
  <c r="S184" i="23"/>
  <c r="S191" i="23"/>
  <c r="S96" i="23"/>
  <c r="S42" i="23"/>
  <c r="S54" i="23"/>
  <c r="S199" i="23"/>
  <c r="S116" i="23"/>
  <c r="S94" i="23"/>
  <c r="S79" i="23"/>
  <c r="S204" i="23"/>
  <c r="S23" i="23"/>
  <c r="S31" i="23"/>
  <c r="S97" i="23"/>
  <c r="S61" i="23"/>
  <c r="S108" i="23"/>
  <c r="S71" i="23"/>
  <c r="S64" i="23"/>
  <c r="S230" i="23"/>
  <c r="S118" i="23"/>
  <c r="S215" i="23"/>
  <c r="S169" i="23"/>
  <c r="S60" i="23"/>
  <c r="S33" i="23"/>
  <c r="S185" i="23"/>
  <c r="S173" i="23"/>
  <c r="S69" i="23"/>
  <c r="S40" i="23"/>
  <c r="S154" i="23"/>
  <c r="S67" i="23"/>
  <c r="S15" i="23"/>
  <c r="S11" i="23"/>
  <c r="S162" i="23"/>
  <c r="S161" i="23"/>
  <c r="S190" i="23"/>
  <c r="S139" i="23"/>
  <c r="S129" i="23"/>
  <c r="S127" i="23"/>
  <c r="S130" i="23"/>
  <c r="R104" i="23"/>
  <c r="Q122" i="23"/>
  <c r="Q11" i="23"/>
  <c r="Q34" i="23"/>
  <c r="Q60" i="23"/>
  <c r="Q139" i="23"/>
  <c r="Q213" i="23"/>
  <c r="Q230" i="23"/>
  <c r="Q174" i="23"/>
  <c r="Q81" i="23"/>
  <c r="Q181" i="23"/>
  <c r="Q39" i="23"/>
  <c r="Q169" i="23"/>
  <c r="Q182" i="23"/>
  <c r="Q221" i="23"/>
  <c r="Q220" i="23"/>
  <c r="Q79" i="23"/>
  <c r="Q150" i="23"/>
  <c r="Q180" i="23"/>
  <c r="Q10" i="23"/>
  <c r="Q74" i="23"/>
  <c r="Q183" i="23"/>
  <c r="Q93" i="23"/>
  <c r="Q99" i="23"/>
  <c r="Q66" i="23"/>
  <c r="Q222" i="23"/>
  <c r="Q123" i="23"/>
  <c r="Q166" i="23"/>
  <c r="Q102" i="23"/>
  <c r="Q72" i="23"/>
  <c r="Q80" i="23"/>
  <c r="Q42" i="23"/>
  <c r="Q70" i="23"/>
  <c r="Q108" i="23"/>
  <c r="Q151" i="23"/>
  <c r="Q173" i="23"/>
  <c r="Q233" i="23"/>
  <c r="Q89" i="23"/>
  <c r="Q38" i="23"/>
  <c r="Q75" i="23"/>
  <c r="Q71" i="23"/>
  <c r="Q126" i="23"/>
  <c r="Q41" i="23"/>
  <c r="Q69" i="23"/>
  <c r="Q215" i="23"/>
  <c r="Q77" i="23"/>
  <c r="Q96" i="23"/>
  <c r="Q64" i="23"/>
  <c r="Q219" i="23"/>
  <c r="Q238" i="23"/>
  <c r="Q236" i="23"/>
  <c r="Q225" i="23"/>
  <c r="Q217" i="23"/>
  <c r="Q76" i="23"/>
  <c r="Q40" i="23"/>
  <c r="Q37" i="23"/>
  <c r="Q202" i="23"/>
  <c r="Q200" i="23"/>
  <c r="Q33" i="23"/>
  <c r="Q214" i="23"/>
  <c r="Q176" i="23"/>
  <c r="Q95" i="23"/>
  <c r="Q43" i="23"/>
  <c r="Q97" i="23"/>
  <c r="Q216" i="23"/>
  <c r="Q154" i="23"/>
  <c r="Q175" i="23"/>
  <c r="Q36" i="23"/>
  <c r="S187" i="23"/>
  <c r="S122" i="23"/>
  <c r="R74" i="23"/>
  <c r="S144" i="23"/>
  <c r="R75" i="23"/>
  <c r="R32" i="23"/>
  <c r="S219" i="23"/>
  <c r="S85" i="23"/>
  <c r="R219" i="23"/>
  <c r="S104" i="23"/>
  <c r="S186" i="23"/>
  <c r="R196" i="23"/>
  <c r="S51" i="23"/>
  <c r="S82" i="23"/>
  <c r="R85" i="23"/>
  <c r="R221" i="23"/>
  <c r="S63" i="23"/>
  <c r="S218" i="23"/>
  <c r="S98" i="23"/>
  <c r="R203" i="23"/>
  <c r="R26" i="23"/>
  <c r="S226" i="23"/>
  <c r="S115" i="23"/>
  <c r="R228" i="23"/>
  <c r="R235" i="23"/>
  <c r="S224" i="23"/>
  <c r="S114" i="23"/>
  <c r="R20" i="23"/>
  <c r="R89" i="23"/>
  <c r="S151" i="23"/>
  <c r="S37" i="23"/>
  <c r="R27" i="23"/>
  <c r="R222" i="23"/>
  <c r="S188" i="23"/>
  <c r="S223" i="23"/>
  <c r="R220" i="23"/>
  <c r="R199" i="23"/>
  <c r="S233" i="23"/>
  <c r="S150" i="23"/>
  <c r="R197" i="23"/>
  <c r="R227" i="23"/>
  <c r="S117" i="23"/>
  <c r="S213" i="23"/>
  <c r="S52" i="23"/>
  <c r="R198" i="23"/>
  <c r="S220" i="23"/>
  <c r="S59" i="23"/>
  <c r="R238" i="23"/>
  <c r="Q228" i="23"/>
  <c r="R195" i="23"/>
  <c r="Q178" i="23"/>
  <c r="R192" i="23"/>
  <c r="R229" i="23"/>
  <c r="R174" i="23"/>
  <c r="R71" i="23"/>
  <c r="R232" i="23"/>
  <c r="R159" i="23"/>
  <c r="R76" i="23"/>
  <c r="R105" i="23"/>
  <c r="R223" i="23"/>
  <c r="R225" i="23"/>
  <c r="R43" i="23"/>
  <c r="R64" i="23"/>
  <c r="R224" i="23"/>
  <c r="R190" i="23"/>
  <c r="R3" i="23"/>
  <c r="R55" i="23"/>
  <c r="R148" i="23"/>
  <c r="R132" i="23"/>
  <c r="R66" i="23"/>
  <c r="R123" i="23"/>
  <c r="R2" i="23"/>
  <c r="R143" i="23"/>
  <c r="R230" i="23"/>
  <c r="R216" i="23"/>
  <c r="R215" i="23"/>
  <c r="R231" i="23"/>
  <c r="R70" i="23"/>
  <c r="R67" i="23"/>
  <c r="T67" i="23" s="1"/>
  <c r="U67" i="23" s="1"/>
  <c r="R81" i="23"/>
  <c r="R30" i="23"/>
  <c r="R113" i="23"/>
  <c r="R108" i="23"/>
  <c r="R234" i="23"/>
  <c r="R200" i="23"/>
  <c r="R144" i="23"/>
  <c r="R213" i="23"/>
  <c r="R100" i="23"/>
  <c r="R111" i="23"/>
  <c r="R101" i="23"/>
  <c r="R69" i="23"/>
  <c r="S124" i="23"/>
  <c r="Q131" i="23"/>
  <c r="R50" i="23"/>
  <c r="R135" i="23"/>
  <c r="R33" i="23"/>
  <c r="R136" i="23"/>
  <c r="R141" i="23"/>
  <c r="R165" i="23"/>
  <c r="R184" i="23"/>
  <c r="R17" i="23"/>
  <c r="R23" i="23"/>
  <c r="R31" i="23"/>
  <c r="R38" i="23"/>
  <c r="R15" i="23"/>
  <c r="R186" i="23"/>
  <c r="R97" i="23"/>
  <c r="R154" i="23"/>
  <c r="R171" i="23"/>
  <c r="R177" i="23"/>
  <c r="R183" i="23"/>
  <c r="R10" i="23"/>
  <c r="R48" i="23"/>
  <c r="R140" i="23"/>
  <c r="R179" i="23"/>
  <c r="R185" i="23"/>
  <c r="R39" i="23"/>
  <c r="R51" i="23"/>
  <c r="R12" i="23"/>
  <c r="R56" i="23"/>
  <c r="R139" i="23"/>
  <c r="R88" i="23"/>
  <c r="R59" i="23"/>
  <c r="R162" i="23"/>
  <c r="R160" i="23"/>
  <c r="R166" i="23"/>
  <c r="R172" i="23"/>
  <c r="R122" i="23"/>
  <c r="R25" i="23"/>
  <c r="R147" i="23"/>
  <c r="R14" i="23"/>
  <c r="R119" i="23"/>
  <c r="R202" i="23"/>
  <c r="R117" i="23"/>
  <c r="R167" i="23"/>
  <c r="R18" i="23"/>
  <c r="R21" i="23"/>
  <c r="R170" i="23"/>
  <c r="R150" i="23"/>
  <c r="R99" i="23"/>
  <c r="R149" i="23"/>
  <c r="R41" i="23"/>
  <c r="R98" i="23"/>
  <c r="R87" i="23"/>
  <c r="R16" i="23"/>
  <c r="R176" i="23"/>
  <c r="R93" i="23"/>
  <c r="R60" i="23"/>
  <c r="R35" i="23"/>
  <c r="R36" i="23"/>
  <c r="R47" i="23"/>
  <c r="R178" i="23"/>
  <c r="R11" i="23"/>
  <c r="R168" i="23"/>
  <c r="R180" i="23"/>
  <c r="R91" i="23"/>
  <c r="R54" i="23"/>
  <c r="R163" i="23"/>
  <c r="R182" i="23"/>
  <c r="R145" i="23"/>
  <c r="R187" i="23"/>
  <c r="R125" i="23"/>
  <c r="R52" i="23"/>
  <c r="R169" i="23"/>
  <c r="R116" i="23"/>
  <c r="R151" i="23"/>
  <c r="R188" i="23"/>
  <c r="R181" i="23"/>
  <c r="R126" i="23"/>
  <c r="R157" i="23"/>
  <c r="R13" i="23"/>
  <c r="R211" i="23"/>
  <c r="R53" i="23"/>
  <c r="R118" i="23"/>
  <c r="R61" i="23"/>
  <c r="R193" i="23"/>
  <c r="R49" i="23"/>
  <c r="R8" i="23"/>
  <c r="R212" i="23"/>
  <c r="R94" i="23"/>
  <c r="R9" i="23"/>
  <c r="R24" i="23"/>
  <c r="R22" i="23"/>
  <c r="R40" i="23"/>
  <c r="R37" i="23"/>
  <c r="R146" i="23"/>
  <c r="R19" i="23"/>
  <c r="Q133" i="23"/>
  <c r="R128" i="23"/>
  <c r="R129" i="23"/>
  <c r="R152" i="23"/>
  <c r="R127" i="23"/>
  <c r="Q211" i="23"/>
  <c r="Q189" i="23"/>
  <c r="Q22" i="23"/>
  <c r="R112" i="23"/>
  <c r="R130" i="23"/>
  <c r="Q107" i="23"/>
  <c r="Q212" i="23"/>
  <c r="Q128" i="23"/>
  <c r="Q127" i="23"/>
  <c r="Q129" i="23"/>
  <c r="Q130" i="23"/>
  <c r="S107" i="23"/>
  <c r="S128" i="23"/>
  <c r="S172" i="23"/>
  <c r="S237" i="23"/>
  <c r="S13" i="23"/>
  <c r="S181" i="23"/>
  <c r="S196" i="23"/>
  <c r="S26" i="23"/>
  <c r="S45" i="23"/>
  <c r="S165" i="23"/>
  <c r="S197" i="23"/>
  <c r="S46" i="23"/>
  <c r="S16" i="23"/>
  <c r="S178" i="23"/>
  <c r="S134" i="23"/>
  <c r="S211" i="23"/>
  <c r="S20" i="23"/>
  <c r="S30" i="23"/>
  <c r="S194" i="23"/>
  <c r="S57" i="23"/>
  <c r="S44" i="23"/>
  <c r="S147" i="23"/>
  <c r="R207" i="23"/>
  <c r="R164" i="23"/>
  <c r="R204" i="23"/>
  <c r="R142" i="23"/>
  <c r="R46" i="23"/>
  <c r="R133" i="23"/>
  <c r="Q195" i="23"/>
  <c r="R95" i="23"/>
  <c r="R153" i="23"/>
  <c r="R206" i="23"/>
  <c r="R134" i="23"/>
  <c r="R155" i="23"/>
  <c r="R34" i="23"/>
  <c r="Q21" i="23"/>
  <c r="R92" i="23"/>
  <c r="R120" i="23"/>
  <c r="R45" i="23"/>
  <c r="R137" i="23"/>
  <c r="R209" i="23"/>
  <c r="R208" i="23"/>
  <c r="R158" i="23"/>
  <c r="R201" i="23"/>
  <c r="R210" i="23"/>
  <c r="R96" i="23"/>
  <c r="R205" i="23"/>
  <c r="R161" i="23"/>
  <c r="R121" i="23"/>
  <c r="R44" i="23"/>
  <c r="R131" i="23"/>
  <c r="R90" i="23"/>
  <c r="S164" i="23"/>
  <c r="S179" i="23"/>
  <c r="S155" i="23"/>
  <c r="S157" i="23"/>
  <c r="S12" i="23"/>
  <c r="S202" i="23"/>
  <c r="S5" i="23"/>
  <c r="S119" i="23"/>
  <c r="S50" i="23"/>
  <c r="S189" i="23"/>
  <c r="S201" i="23"/>
  <c r="S25" i="23"/>
  <c r="S235" i="23"/>
  <c r="S101" i="23"/>
  <c r="S228" i="23"/>
  <c r="S76" i="23"/>
  <c r="S21" i="23"/>
  <c r="S236" i="23"/>
  <c r="S17" i="23"/>
  <c r="S19" i="23"/>
  <c r="S156" i="23"/>
  <c r="S100" i="23"/>
  <c r="S177" i="23"/>
  <c r="S227" i="23"/>
  <c r="S75" i="23"/>
  <c r="S18" i="23"/>
  <c r="S229" i="23"/>
  <c r="S29" i="23"/>
  <c r="S136" i="23"/>
  <c r="S14" i="23"/>
  <c r="S132" i="23"/>
  <c r="S28" i="23"/>
  <c r="S53" i="23"/>
  <c r="S135" i="23"/>
  <c r="S58" i="23"/>
  <c r="S7" i="23"/>
  <c r="S195" i="23"/>
  <c r="S27" i="23"/>
  <c r="U48" i="24"/>
  <c r="W46" i="24"/>
  <c r="W53" i="24" s="1"/>
  <c r="V47" i="24"/>
  <c r="U46" i="24"/>
  <c r="U53" i="24" s="1"/>
  <c r="U47" i="24"/>
  <c r="V49" i="24"/>
  <c r="W47" i="24"/>
  <c r="V46" i="24"/>
  <c r="V53" i="24" s="1"/>
  <c r="R5" i="23"/>
  <c r="U49" i="24"/>
  <c r="V50" i="24"/>
  <c r="W49" i="24"/>
  <c r="W56" i="24" s="1"/>
  <c r="U50" i="24"/>
  <c r="V48" i="24"/>
  <c r="S9" i="23"/>
  <c r="S22" i="23"/>
  <c r="S148" i="23"/>
  <c r="S8" i="23"/>
  <c r="S145" i="23"/>
  <c r="S146" i="23"/>
  <c r="S198" i="23"/>
  <c r="S6" i="23"/>
  <c r="Q148" i="23"/>
  <c r="Q188" i="23"/>
  <c r="R6" i="23"/>
  <c r="R29" i="23"/>
  <c r="R28" i="23"/>
  <c r="Q132" i="23"/>
  <c r="AS112" i="22"/>
  <c r="AS113" i="22" s="1"/>
  <c r="C29" i="22" s="1"/>
  <c r="D17" i="24" s="1"/>
  <c r="R86" i="23"/>
  <c r="Q119" i="23"/>
  <c r="Q23" i="23"/>
  <c r="Q4" i="23"/>
  <c r="Q235" i="23"/>
  <c r="Q3" i="23"/>
  <c r="Q145" i="23"/>
  <c r="Q6" i="23"/>
  <c r="Q190" i="23"/>
  <c r="Q196" i="23"/>
  <c r="Q7" i="23"/>
  <c r="Q161" i="23"/>
  <c r="Q9" i="23"/>
  <c r="Q147" i="23"/>
  <c r="Q24" i="23"/>
  <c r="Q26" i="23"/>
  <c r="Q12" i="23"/>
  <c r="Q146" i="23"/>
  <c r="Q136" i="23"/>
  <c r="Q91" i="23"/>
  <c r="Q140" i="23"/>
  <c r="Q135" i="23"/>
  <c r="Q27" i="23"/>
  <c r="S83" i="23"/>
  <c r="Q193" i="23"/>
  <c r="S160" i="23"/>
  <c r="S232" i="23"/>
  <c r="S84" i="23"/>
  <c r="S138" i="23"/>
  <c r="S35" i="23"/>
  <c r="R103" i="23"/>
  <c r="R80" i="23"/>
  <c r="R7" i="23"/>
  <c r="R194" i="23"/>
  <c r="R82" i="23"/>
  <c r="R173" i="23"/>
  <c r="S149" i="23"/>
  <c r="Q114" i="23"/>
  <c r="S212" i="23"/>
  <c r="S36" i="23"/>
  <c r="S231" i="23"/>
  <c r="S38" i="23"/>
  <c r="R102" i="23"/>
  <c r="R107" i="23"/>
  <c r="R237" i="23"/>
  <c r="R77" i="23"/>
  <c r="R42" i="23"/>
  <c r="R62" i="23"/>
  <c r="S106" i="23"/>
  <c r="Q73" i="23"/>
  <c r="Q84" i="23"/>
  <c r="S3" i="23"/>
  <c r="AZ112" i="22"/>
  <c r="Q61" i="23"/>
  <c r="S222" i="23"/>
  <c r="S221" i="23"/>
  <c r="S88" i="23"/>
  <c r="S137" i="23"/>
  <c r="R79" i="23"/>
  <c r="R4" i="23"/>
  <c r="R114" i="23"/>
  <c r="R63" i="23"/>
  <c r="R65" i="23"/>
  <c r="R73" i="23"/>
  <c r="Q224" i="23"/>
  <c r="Q201" i="23"/>
  <c r="Q156" i="23"/>
  <c r="S234" i="23"/>
  <c r="S192" i="23"/>
  <c r="S87" i="23"/>
  <c r="S142" i="23"/>
  <c r="R72" i="23"/>
  <c r="R115" i="23"/>
  <c r="R68" i="23"/>
  <c r="R57" i="23"/>
  <c r="R83" i="23"/>
  <c r="R175" i="23"/>
  <c r="S113" i="23"/>
  <c r="Q105" i="23"/>
  <c r="S225" i="23"/>
  <c r="S112" i="23"/>
  <c r="S141" i="23"/>
  <c r="S111" i="23"/>
  <c r="R233" i="23"/>
  <c r="R191" i="23"/>
  <c r="R214" i="23"/>
  <c r="R78" i="23"/>
  <c r="R58" i="23"/>
  <c r="R217" i="23"/>
  <c r="S86" i="23"/>
  <c r="Q45" i="23"/>
  <c r="S217" i="23"/>
  <c r="S89" i="23"/>
  <c r="S109" i="23"/>
  <c r="R106" i="23"/>
  <c r="R110" i="23"/>
  <c r="R109" i="23"/>
  <c r="R226" i="23"/>
  <c r="R84" i="23"/>
  <c r="S90" i="23"/>
  <c r="S105" i="23"/>
  <c r="S103" i="23"/>
  <c r="S73" i="23"/>
  <c r="Q78" i="23"/>
  <c r="Q229" i="23"/>
  <c r="Q209" i="23"/>
  <c r="Q55" i="23"/>
  <c r="Q187" i="23"/>
  <c r="Q104" i="23"/>
  <c r="Q163" i="23"/>
  <c r="Q157" i="23"/>
  <c r="Q59" i="23"/>
  <c r="Q110" i="23"/>
  <c r="Q35" i="23"/>
  <c r="Q186" i="23"/>
  <c r="Q47" i="23"/>
  <c r="Q138" i="23"/>
  <c r="Q29" i="23"/>
  <c r="Q158" i="23"/>
  <c r="Q115" i="23"/>
  <c r="Q63" i="23"/>
  <c r="Q160" i="23"/>
  <c r="Q98" i="23"/>
  <c r="Q113" i="23"/>
  <c r="Q106" i="23"/>
  <c r="Q232" i="23"/>
  <c r="Q185" i="23"/>
  <c r="Q13" i="23"/>
  <c r="Q86" i="23"/>
  <c r="Q234" i="23"/>
  <c r="Q155" i="23"/>
  <c r="Q194" i="23"/>
  <c r="Q152" i="23"/>
  <c r="Q226" i="23"/>
  <c r="Q109" i="23"/>
  <c r="Q82" i="23"/>
  <c r="Q162" i="23"/>
  <c r="Q88" i="23"/>
  <c r="Q112" i="23"/>
  <c r="Q49" i="23"/>
  <c r="Q117" i="23"/>
  <c r="Q208" i="23"/>
  <c r="Q46" i="23"/>
  <c r="Q90" i="23"/>
  <c r="Q44" i="23"/>
  <c r="Q48" i="23"/>
  <c r="Q137" i="23"/>
  <c r="Q83" i="23"/>
  <c r="Q94" i="23"/>
  <c r="Q153" i="23"/>
  <c r="Q177" i="23"/>
  <c r="Q31" i="23"/>
  <c r="Q223" i="23"/>
  <c r="Q56" i="23"/>
  <c r="Q210" i="23"/>
  <c r="Q92" i="23"/>
  <c r="Q124" i="23"/>
  <c r="Q121" i="23"/>
  <c r="Q206" i="23"/>
  <c r="Q57" i="23"/>
  <c r="Q103" i="23"/>
  <c r="Q168" i="23"/>
  <c r="Q20" i="23"/>
  <c r="Q191" i="23"/>
  <c r="Q19" i="23"/>
  <c r="Q170" i="23"/>
  <c r="Q172" i="23"/>
  <c r="Q203" i="23"/>
  <c r="T203" i="23" s="1"/>
  <c r="Q50" i="23"/>
  <c r="Q197" i="23"/>
  <c r="Q120" i="23"/>
  <c r="T120" i="23" s="1"/>
  <c r="Q199" i="23"/>
  <c r="Q68" i="23"/>
  <c r="Q32" i="23"/>
  <c r="Q54" i="23"/>
  <c r="Q15" i="23"/>
  <c r="Q171" i="23"/>
  <c r="Q52" i="23"/>
  <c r="Q144" i="23"/>
  <c r="Q85" i="23"/>
  <c r="Q16" i="23"/>
  <c r="Q205" i="23"/>
  <c r="Q218" i="23"/>
  <c r="Q51" i="23"/>
  <c r="Q149" i="23"/>
  <c r="Q143" i="23"/>
  <c r="T143" i="23" s="1"/>
  <c r="Q18" i="23"/>
  <c r="Q231" i="23"/>
  <c r="Q204" i="23"/>
  <c r="Q2" i="23"/>
  <c r="Q142" i="23"/>
  <c r="Q101" i="23"/>
  <c r="Q165" i="23"/>
  <c r="Q125" i="23"/>
  <c r="Q116" i="23"/>
  <c r="Q167" i="23"/>
  <c r="Q159" i="23"/>
  <c r="Q30" i="23"/>
  <c r="Q53" i="23"/>
  <c r="Q14" i="23"/>
  <c r="Q28" i="23"/>
  <c r="Q62" i="23"/>
  <c r="Q192" i="23"/>
  <c r="Q141" i="23"/>
  <c r="Q207" i="23"/>
  <c r="AL112" i="22"/>
  <c r="AL113" i="22" s="1"/>
  <c r="C28" i="22" s="1"/>
  <c r="B17" i="24" s="1"/>
  <c r="Q58" i="23"/>
  <c r="Q164" i="23"/>
  <c r="Q179" i="23"/>
  <c r="Q237" i="23"/>
  <c r="Q65" i="23"/>
  <c r="Q184" i="23"/>
  <c r="Q118" i="23"/>
  <c r="Q17" i="23"/>
  <c r="Q25" i="23"/>
  <c r="Q87" i="23"/>
  <c r="Q100" i="23"/>
  <c r="Q5" i="23"/>
  <c r="T168" i="23" l="1"/>
  <c r="T185" i="23"/>
  <c r="T124" i="23"/>
  <c r="T125" i="23"/>
  <c r="U125" i="23" s="1"/>
  <c r="T152" i="23"/>
  <c r="U152" i="23" s="1"/>
  <c r="T153" i="23"/>
  <c r="U153" i="23" s="1"/>
  <c r="T155" i="23"/>
  <c r="T140" i="23"/>
  <c r="AC65" i="21"/>
  <c r="AC66" i="21" s="1"/>
  <c r="AC67" i="21" s="1"/>
  <c r="AC68" i="21" s="1"/>
  <c r="AC69" i="21" s="1"/>
  <c r="AC70" i="21" s="1"/>
  <c r="AC71" i="21" s="1"/>
  <c r="AC72" i="21" s="1"/>
  <c r="AC73" i="21" s="1"/>
  <c r="AC74" i="21" s="1"/>
  <c r="T196" i="23"/>
  <c r="U196" i="23" s="1"/>
  <c r="G205" i="22"/>
  <c r="V101" i="24" s="1"/>
  <c r="O207" i="22"/>
  <c r="O205" i="22"/>
  <c r="O204" i="22"/>
  <c r="G203" i="22"/>
  <c r="O203" i="22"/>
  <c r="G206" i="22"/>
  <c r="W203" i="22"/>
  <c r="W207" i="22"/>
  <c r="W206" i="22"/>
  <c r="W205" i="22"/>
  <c r="O206" i="22"/>
  <c r="G207" i="22"/>
  <c r="W204" i="22"/>
  <c r="G204" i="22"/>
  <c r="T30" i="23"/>
  <c r="U30" i="23" s="1"/>
  <c r="T161" i="23"/>
  <c r="U161" i="23" s="1"/>
  <c r="T159" i="23"/>
  <c r="T149" i="23"/>
  <c r="U149" i="23" s="1"/>
  <c r="T210" i="23"/>
  <c r="U210" i="23" s="1"/>
  <c r="T101" i="23"/>
  <c r="U101" i="23" s="1"/>
  <c r="T19" i="23"/>
  <c r="T229" i="23"/>
  <c r="T28" i="23"/>
  <c r="U28" i="23" s="1"/>
  <c r="T160" i="23"/>
  <c r="U160" i="23" s="1"/>
  <c r="T12" i="23"/>
  <c r="U12" i="23" s="1"/>
  <c r="T35" i="23"/>
  <c r="U35" i="23" s="1"/>
  <c r="T163" i="23"/>
  <c r="U163" i="23" s="1"/>
  <c r="T129" i="23"/>
  <c r="U129" i="23" s="1"/>
  <c r="T27" i="23"/>
  <c r="U27" i="23" s="1"/>
  <c r="T117" i="23"/>
  <c r="U117" i="23" s="1"/>
  <c r="T190" i="23"/>
  <c r="U190" i="23" s="1"/>
  <c r="T46" i="23"/>
  <c r="U46" i="23" s="1"/>
  <c r="T177" i="23"/>
  <c r="T45" i="23"/>
  <c r="T94" i="23"/>
  <c r="T132" i="23"/>
  <c r="U132" i="23" s="1"/>
  <c r="T235" i="23"/>
  <c r="U235" i="23" s="1"/>
  <c r="T24" i="23"/>
  <c r="U24" i="23" s="1"/>
  <c r="T205" i="23"/>
  <c r="U205" i="23" s="1"/>
  <c r="T48" i="23"/>
  <c r="U48" i="23" s="1"/>
  <c r="T17" i="23"/>
  <c r="U17" i="23" s="1"/>
  <c r="T207" i="23"/>
  <c r="U207" i="23" s="1"/>
  <c r="T186" i="23"/>
  <c r="U186" i="23" s="1"/>
  <c r="T188" i="23"/>
  <c r="T118" i="23"/>
  <c r="U118" i="23" s="1"/>
  <c r="T116" i="23"/>
  <c r="U116" i="23" s="1"/>
  <c r="T14" i="23"/>
  <c r="U14" i="23" s="1"/>
  <c r="T15" i="23"/>
  <c r="U15" i="23" s="1"/>
  <c r="T121" i="23"/>
  <c r="U121" i="23" s="1"/>
  <c r="T49" i="23"/>
  <c r="U49" i="23" s="1"/>
  <c r="G106" i="21"/>
  <c r="K146" i="22"/>
  <c r="K145" i="22"/>
  <c r="S147" i="22"/>
  <c r="S143" i="22"/>
  <c r="S144" i="22"/>
  <c r="C147" i="22"/>
  <c r="C143" i="22"/>
  <c r="C146" i="22"/>
  <c r="C145" i="22"/>
  <c r="K143" i="22"/>
  <c r="C144" i="22"/>
  <c r="K147" i="22"/>
  <c r="L207" i="22" s="1"/>
  <c r="K144" i="22"/>
  <c r="S146" i="22"/>
  <c r="S108" i="22"/>
  <c r="R47" i="24" s="1"/>
  <c r="S126" i="22"/>
  <c r="S117" i="22"/>
  <c r="S135" i="22"/>
  <c r="K136" i="22"/>
  <c r="C135" i="22"/>
  <c r="S137" i="22"/>
  <c r="K138" i="22"/>
  <c r="K134" i="22"/>
  <c r="S138" i="22"/>
  <c r="K137" i="22"/>
  <c r="S136" i="22"/>
  <c r="K135" i="22"/>
  <c r="S134" i="22"/>
  <c r="C138" i="22"/>
  <c r="C136" i="22"/>
  <c r="C137" i="22"/>
  <c r="C134" i="22"/>
  <c r="C194" i="22" s="1"/>
  <c r="S109" i="22"/>
  <c r="R48" i="24" s="1"/>
  <c r="S127" i="22"/>
  <c r="S118" i="22"/>
  <c r="S111" i="22"/>
  <c r="R50" i="24" s="1"/>
  <c r="S129" i="22"/>
  <c r="S120" i="22"/>
  <c r="AK65" i="21"/>
  <c r="AK66" i="21" s="1"/>
  <c r="AK67" i="21" s="1"/>
  <c r="AK68" i="21" s="1"/>
  <c r="AK69" i="21" s="1"/>
  <c r="AK70" i="21" s="1"/>
  <c r="AK71" i="21" s="1"/>
  <c r="AK72" i="21" s="1"/>
  <c r="AK73" i="21" s="1"/>
  <c r="AK74" i="21" s="1"/>
  <c r="AK75" i="21" s="1"/>
  <c r="AK76" i="21" s="1"/>
  <c r="AK77" i="21" s="1"/>
  <c r="AK78" i="21" s="1"/>
  <c r="AK79" i="21" s="1"/>
  <c r="AK80" i="21" s="1"/>
  <c r="AK81" i="21" s="1"/>
  <c r="AK82" i="21" s="1"/>
  <c r="AK83" i="21" s="1"/>
  <c r="AK84" i="21" s="1"/>
  <c r="AK85" i="21" s="1"/>
  <c r="AK86" i="21" s="1"/>
  <c r="AK87" i="21" s="1"/>
  <c r="AK88" i="21" s="1"/>
  <c r="AK89" i="21" s="1"/>
  <c r="AK90" i="21" s="1"/>
  <c r="AK91" i="21" s="1"/>
  <c r="AK92" i="21" s="1"/>
  <c r="AK93" i="21" s="1"/>
  <c r="AK94" i="21" s="1"/>
  <c r="AK95" i="21" s="1"/>
  <c r="AK96" i="21" s="1"/>
  <c r="AK97" i="21" s="1"/>
  <c r="AK98" i="21" s="1"/>
  <c r="AK99" i="21" s="1"/>
  <c r="AK100" i="21" s="1"/>
  <c r="AK101" i="21" s="1"/>
  <c r="AK102" i="21" s="1"/>
  <c r="AK103" i="21" s="1"/>
  <c r="AK104" i="21" s="1"/>
  <c r="AK105" i="21" s="1"/>
  <c r="AK106" i="21" s="1"/>
  <c r="AK107" i="21" s="1"/>
  <c r="AK108" i="21" s="1"/>
  <c r="AK109" i="21" s="1"/>
  <c r="AK110" i="21" s="1"/>
  <c r="AK111" i="21" s="1"/>
  <c r="AK112" i="21" s="1"/>
  <c r="AK113" i="21" s="1"/>
  <c r="AK114" i="21" s="1"/>
  <c r="AK115" i="21" s="1"/>
  <c r="AK116" i="21" s="1"/>
  <c r="AK117" i="21" s="1"/>
  <c r="AK118" i="21" s="1"/>
  <c r="AK119" i="21" s="1"/>
  <c r="AK120" i="21" s="1"/>
  <c r="AK121" i="21" s="1"/>
  <c r="AK122" i="21" s="1"/>
  <c r="AK123" i="21" s="1"/>
  <c r="AK124" i="21" s="1"/>
  <c r="AK125" i="21" s="1"/>
  <c r="AK126" i="21" s="1"/>
  <c r="AK127" i="21" s="1"/>
  <c r="AK128" i="21" s="1"/>
  <c r="AK129" i="21" s="1"/>
  <c r="AK130" i="21" s="1"/>
  <c r="AK131" i="21" s="1"/>
  <c r="AK132" i="21" s="1"/>
  <c r="AK133" i="21" s="1"/>
  <c r="AK134" i="21" s="1"/>
  <c r="AK135" i="21" s="1"/>
  <c r="AK136" i="21" s="1"/>
  <c r="AK137" i="21" s="1"/>
  <c r="AK138" i="21" s="1"/>
  <c r="AK139" i="21" s="1"/>
  <c r="AK140" i="21" s="1"/>
  <c r="AK141" i="21" s="1"/>
  <c r="AK142" i="21" s="1"/>
  <c r="AK143" i="21" s="1"/>
  <c r="AK144" i="21" s="1"/>
  <c r="AK145" i="21" s="1"/>
  <c r="AK146" i="21" s="1"/>
  <c r="AK147" i="21" s="1"/>
  <c r="AK148" i="21" s="1"/>
  <c r="AK149" i="21" s="1"/>
  <c r="AK150" i="21" s="1"/>
  <c r="AK151" i="21" s="1"/>
  <c r="AK152" i="21" s="1"/>
  <c r="AK153" i="21" s="1"/>
  <c r="AK154" i="21" s="1"/>
  <c r="AK155" i="21" s="1"/>
  <c r="AK156" i="21" s="1"/>
  <c r="AK157" i="21" s="1"/>
  <c r="AK158" i="21" s="1"/>
  <c r="AK159" i="21" s="1"/>
  <c r="AK160" i="21" s="1"/>
  <c r="AK161" i="21" s="1"/>
  <c r="AK162" i="21" s="1"/>
  <c r="AK163" i="21" s="1"/>
  <c r="AK164" i="21" s="1"/>
  <c r="G107" i="21" s="1"/>
  <c r="U101" i="22"/>
  <c r="M102" i="22"/>
  <c r="M98" i="22"/>
  <c r="E99" i="22"/>
  <c r="E100" i="22"/>
  <c r="U99" i="22"/>
  <c r="M100" i="22"/>
  <c r="U102" i="22"/>
  <c r="M101" i="22"/>
  <c r="U100" i="22"/>
  <c r="M99" i="22"/>
  <c r="E98" i="22"/>
  <c r="U98" i="22"/>
  <c r="E101" i="22"/>
  <c r="E102" i="22"/>
  <c r="K109" i="22"/>
  <c r="Q48" i="24" s="1"/>
  <c r="K127" i="22"/>
  <c r="K118" i="22"/>
  <c r="C107" i="22"/>
  <c r="C116" i="22"/>
  <c r="C125" i="22"/>
  <c r="S110" i="22"/>
  <c r="R49" i="24" s="1"/>
  <c r="S128" i="22"/>
  <c r="S119" i="22"/>
  <c r="C109" i="22"/>
  <c r="P48" i="24" s="1"/>
  <c r="C127" i="22"/>
  <c r="C118" i="22"/>
  <c r="C111" i="22"/>
  <c r="P50" i="24" s="1"/>
  <c r="C120" i="22"/>
  <c r="C129" i="22"/>
  <c r="S107" i="22"/>
  <c r="R46" i="24" s="1"/>
  <c r="R53" i="24" s="1"/>
  <c r="S125" i="22"/>
  <c r="S116" i="22"/>
  <c r="K107" i="22"/>
  <c r="Q46" i="24" s="1"/>
  <c r="Q53" i="24" s="1"/>
  <c r="K116" i="22"/>
  <c r="K125" i="22"/>
  <c r="C110" i="22"/>
  <c r="P49" i="24" s="1"/>
  <c r="C128" i="22"/>
  <c r="C119" i="22"/>
  <c r="C108" i="22"/>
  <c r="P47" i="24" s="1"/>
  <c r="C126" i="22"/>
  <c r="C117" i="22"/>
  <c r="K108" i="22"/>
  <c r="Q47" i="24" s="1"/>
  <c r="K126" i="22"/>
  <c r="K117" i="22"/>
  <c r="K110" i="22"/>
  <c r="Q49" i="24" s="1"/>
  <c r="K128" i="22"/>
  <c r="K119" i="22"/>
  <c r="S205" i="22"/>
  <c r="O103" i="24" s="1"/>
  <c r="T205" i="22"/>
  <c r="J103" i="24" s="1"/>
  <c r="K111" i="22"/>
  <c r="Q50" i="24" s="1"/>
  <c r="K120" i="22"/>
  <c r="K129" i="22"/>
  <c r="T232" i="23"/>
  <c r="U232" i="23" s="1"/>
  <c r="T58" i="23"/>
  <c r="U58" i="23" s="1"/>
  <c r="T68" i="23"/>
  <c r="U68" i="23" s="1"/>
  <c r="T134" i="23"/>
  <c r="U134" i="23" s="1"/>
  <c r="T167" i="23"/>
  <c r="U167" i="23" s="1"/>
  <c r="T51" i="23"/>
  <c r="U51" i="23" s="1"/>
  <c r="T199" i="23"/>
  <c r="U199" i="23" s="1"/>
  <c r="T59" i="23"/>
  <c r="U59" i="23" s="1"/>
  <c r="T23" i="23"/>
  <c r="U23" i="23" s="1"/>
  <c r="T226" i="23"/>
  <c r="U226" i="23" s="1"/>
  <c r="T16" i="23"/>
  <c r="U16" i="23" s="1"/>
  <c r="T25" i="23"/>
  <c r="U25" i="23" s="1"/>
  <c r="T158" i="23"/>
  <c r="U158" i="23" s="1"/>
  <c r="T85" i="23"/>
  <c r="U85" i="23" s="1"/>
  <c r="T56" i="23"/>
  <c r="U56" i="23" s="1"/>
  <c r="T208" i="23"/>
  <c r="U208" i="23" s="1"/>
  <c r="T234" i="23"/>
  <c r="U234" i="23" s="1"/>
  <c r="T135" i="23"/>
  <c r="U135" i="23" s="1"/>
  <c r="T165" i="23"/>
  <c r="U165" i="23" s="1"/>
  <c r="T44" i="23"/>
  <c r="U44" i="23" s="1"/>
  <c r="T187" i="23"/>
  <c r="U187" i="23" s="1"/>
  <c r="T204" i="23"/>
  <c r="U204" i="23" s="1"/>
  <c r="T171" i="23"/>
  <c r="U171" i="23" s="1"/>
  <c r="T223" i="23"/>
  <c r="U223" i="23" s="1"/>
  <c r="T50" i="23"/>
  <c r="U50" i="23" s="1"/>
  <c r="T91" i="23"/>
  <c r="T53" i="23"/>
  <c r="U53" i="23" s="1"/>
  <c r="T54" i="23"/>
  <c r="U54" i="23" s="1"/>
  <c r="T136" i="23"/>
  <c r="U136" i="23" s="1"/>
  <c r="T237" i="23"/>
  <c r="U237" i="23" s="1"/>
  <c r="T88" i="23"/>
  <c r="U88" i="23" s="1"/>
  <c r="T201" i="23"/>
  <c r="U201" i="23" s="1"/>
  <c r="T61" i="23"/>
  <c r="U61" i="23" s="1"/>
  <c r="T26" i="23"/>
  <c r="U26" i="23" s="1"/>
  <c r="T206" i="23"/>
  <c r="U206" i="23" s="1"/>
  <c r="T98" i="23"/>
  <c r="U98" i="23" s="1"/>
  <c r="T157" i="23"/>
  <c r="U157" i="23" s="1"/>
  <c r="T179" i="23"/>
  <c r="U179" i="23" s="1"/>
  <c r="T172" i="23"/>
  <c r="U172" i="23" s="1"/>
  <c r="T55" i="23"/>
  <c r="U55" i="23" s="1"/>
  <c r="T52" i="23"/>
  <c r="U52" i="23" s="1"/>
  <c r="T29" i="23"/>
  <c r="U29" i="23" s="1"/>
  <c r="T31" i="23"/>
  <c r="U31" i="23" s="1"/>
  <c r="T47" i="23"/>
  <c r="U47" i="23" s="1"/>
  <c r="T7" i="23"/>
  <c r="U7" i="23" s="1"/>
  <c r="T231" i="23"/>
  <c r="U231" i="23" s="1"/>
  <c r="T156" i="23"/>
  <c r="U156" i="23" s="1"/>
  <c r="T110" i="23"/>
  <c r="U110" i="23" s="1"/>
  <c r="T63" i="23"/>
  <c r="U63" i="23" s="1"/>
  <c r="T9" i="23"/>
  <c r="U9" i="23" s="1"/>
  <c r="T103" i="23"/>
  <c r="U103" i="23" s="1"/>
  <c r="T162" i="23"/>
  <c r="U162" i="23" s="1"/>
  <c r="T224" i="23"/>
  <c r="U224" i="23" s="1"/>
  <c r="T164" i="23"/>
  <c r="U164" i="23" s="1"/>
  <c r="T113" i="23"/>
  <c r="U113" i="23" s="1"/>
  <c r="T189" i="23"/>
  <c r="U189" i="23" s="1"/>
  <c r="T84" i="23"/>
  <c r="U84" i="23" s="1"/>
  <c r="T197" i="23"/>
  <c r="U197" i="23" s="1"/>
  <c r="T193" i="23"/>
  <c r="U193" i="23" s="1"/>
  <c r="T130" i="23"/>
  <c r="U130" i="23" s="1"/>
  <c r="T5" i="23"/>
  <c r="U5" i="23" s="1"/>
  <c r="T100" i="23"/>
  <c r="U100" i="23" s="1"/>
  <c r="T92" i="23"/>
  <c r="U92" i="23" s="1"/>
  <c r="T115" i="23"/>
  <c r="U115" i="23" s="1"/>
  <c r="T8" i="23"/>
  <c r="U8" i="23" s="1"/>
  <c r="T154" i="23"/>
  <c r="U154" i="23" s="1"/>
  <c r="T126" i="23"/>
  <c r="U126" i="23" s="1"/>
  <c r="T150" i="23"/>
  <c r="U150" i="23" s="1"/>
  <c r="T139" i="23"/>
  <c r="U139" i="23" s="1"/>
  <c r="T144" i="23"/>
  <c r="U144" i="23" s="1"/>
  <c r="T127" i="23"/>
  <c r="U127" i="23" s="1"/>
  <c r="T198" i="23"/>
  <c r="U198" i="23" s="1"/>
  <c r="T209" i="23"/>
  <c r="U209" i="23" s="1"/>
  <c r="T133" i="23"/>
  <c r="U133" i="23" s="1"/>
  <c r="T170" i="23"/>
  <c r="U170" i="23" s="1"/>
  <c r="T86" i="23"/>
  <c r="U86" i="23" s="1"/>
  <c r="T138" i="23"/>
  <c r="U138" i="23" s="1"/>
  <c r="T6" i="23"/>
  <c r="U6" i="23" s="1"/>
  <c r="T191" i="23"/>
  <c r="U191" i="23" s="1"/>
  <c r="T13" i="23"/>
  <c r="U13" i="23" s="1"/>
  <c r="T145" i="23"/>
  <c r="U145" i="23" s="1"/>
  <c r="T238" i="23"/>
  <c r="U238" i="23" s="1"/>
  <c r="T184" i="23"/>
  <c r="U184" i="23" s="1"/>
  <c r="T78" i="23"/>
  <c r="U78" i="23" s="1"/>
  <c r="T65" i="23"/>
  <c r="U65" i="23" s="1"/>
  <c r="T18" i="23"/>
  <c r="U18" i="23" s="1"/>
  <c r="T20" i="23"/>
  <c r="U20" i="23" s="1"/>
  <c r="T112" i="23"/>
  <c r="U112" i="23" s="1"/>
  <c r="T105" i="23"/>
  <c r="U105" i="23" s="1"/>
  <c r="T111" i="23"/>
  <c r="U111" i="23" s="1"/>
  <c r="T227" i="23"/>
  <c r="U227" i="23" s="1"/>
  <c r="T76" i="23"/>
  <c r="U76" i="23" s="1"/>
  <c r="T72" i="23"/>
  <c r="U72" i="23" s="1"/>
  <c r="T131" i="23"/>
  <c r="U131" i="23" s="1"/>
  <c r="T216" i="23"/>
  <c r="U216" i="23" s="1"/>
  <c r="T217" i="23"/>
  <c r="U217" i="23" s="1"/>
  <c r="T71" i="23"/>
  <c r="U71" i="23" s="1"/>
  <c r="T102" i="23"/>
  <c r="U102" i="23" s="1"/>
  <c r="T79" i="23"/>
  <c r="U79" i="23" s="1"/>
  <c r="T60" i="23"/>
  <c r="U60" i="23" s="1"/>
  <c r="T128" i="23"/>
  <c r="U128" i="23" s="1"/>
  <c r="T97" i="23"/>
  <c r="U97" i="23" s="1"/>
  <c r="T225" i="23"/>
  <c r="U225" i="23" s="1"/>
  <c r="T75" i="23"/>
  <c r="U75" i="23" s="1"/>
  <c r="T166" i="23"/>
  <c r="U166" i="23" s="1"/>
  <c r="T220" i="23"/>
  <c r="U220" i="23" s="1"/>
  <c r="T34" i="23"/>
  <c r="U34" i="23" s="1"/>
  <c r="T212" i="23"/>
  <c r="U212" i="23" s="1"/>
  <c r="T43" i="23"/>
  <c r="U43" i="23" s="1"/>
  <c r="T236" i="23"/>
  <c r="U236" i="23" s="1"/>
  <c r="T38" i="23"/>
  <c r="U38" i="23" s="1"/>
  <c r="T123" i="23"/>
  <c r="U123" i="23" s="1"/>
  <c r="T221" i="23"/>
  <c r="U221" i="23" s="1"/>
  <c r="T11" i="23"/>
  <c r="U11" i="23" s="1"/>
  <c r="T107" i="23"/>
  <c r="U107" i="23" s="1"/>
  <c r="T95" i="23"/>
  <c r="U95" i="23" s="1"/>
  <c r="T89" i="23"/>
  <c r="U89" i="23" s="1"/>
  <c r="T222" i="23"/>
  <c r="U222" i="23" s="1"/>
  <c r="T182" i="23"/>
  <c r="U182" i="23" s="1"/>
  <c r="T122" i="23"/>
  <c r="U122" i="23" s="1"/>
  <c r="T218" i="23"/>
  <c r="U218" i="23" s="1"/>
  <c r="T57" i="23"/>
  <c r="U57" i="23" s="1"/>
  <c r="T83" i="23"/>
  <c r="U83" i="23" s="1"/>
  <c r="T106" i="23"/>
  <c r="U106" i="23" s="1"/>
  <c r="T3" i="23"/>
  <c r="U3" i="23" s="1"/>
  <c r="T148" i="23"/>
  <c r="U148" i="23" s="1"/>
  <c r="T176" i="23"/>
  <c r="U176" i="23" s="1"/>
  <c r="T219" i="23"/>
  <c r="U219" i="23" s="1"/>
  <c r="T233" i="23"/>
  <c r="U233" i="23" s="1"/>
  <c r="T66" i="23"/>
  <c r="U66" i="23" s="1"/>
  <c r="T169" i="23"/>
  <c r="U169" i="23" s="1"/>
  <c r="T82" i="23"/>
  <c r="U82" i="23" s="1"/>
  <c r="AZ113" i="22"/>
  <c r="C30" i="22" s="1"/>
  <c r="F17" i="24" s="1"/>
  <c r="BF112" i="22"/>
  <c r="T146" i="23"/>
  <c r="U146" i="23" s="1"/>
  <c r="T195" i="23"/>
  <c r="U195" i="23" s="1"/>
  <c r="T214" i="23"/>
  <c r="U214" i="23" s="1"/>
  <c r="T64" i="23"/>
  <c r="U64" i="23" s="1"/>
  <c r="T173" i="23"/>
  <c r="U173" i="23" s="1"/>
  <c r="T99" i="23"/>
  <c r="U99" i="23" s="1"/>
  <c r="T39" i="23"/>
  <c r="U39" i="23" s="1"/>
  <c r="T137" i="23"/>
  <c r="U137" i="23" s="1"/>
  <c r="T109" i="23"/>
  <c r="U109" i="23" s="1"/>
  <c r="T4" i="23"/>
  <c r="U4" i="23" s="1"/>
  <c r="T22" i="23"/>
  <c r="U22" i="23" s="1"/>
  <c r="T178" i="23"/>
  <c r="U178" i="23" s="1"/>
  <c r="T33" i="23"/>
  <c r="U33" i="23" s="1"/>
  <c r="T96" i="23"/>
  <c r="U96" i="23" s="1"/>
  <c r="T151" i="23"/>
  <c r="U151" i="23" s="1"/>
  <c r="T93" i="23"/>
  <c r="U93" i="23" s="1"/>
  <c r="T181" i="23"/>
  <c r="U181" i="23" s="1"/>
  <c r="T200" i="23"/>
  <c r="U200" i="23" s="1"/>
  <c r="T77" i="23"/>
  <c r="U77" i="23" s="1"/>
  <c r="T108" i="23"/>
  <c r="U108" i="23" s="1"/>
  <c r="T183" i="23"/>
  <c r="U183" i="23" s="1"/>
  <c r="T81" i="23"/>
  <c r="U81" i="23" s="1"/>
  <c r="T32" i="23"/>
  <c r="U32" i="23" s="1"/>
  <c r="T87" i="23"/>
  <c r="U87" i="23" s="1"/>
  <c r="T192" i="23"/>
  <c r="U192" i="23" s="1"/>
  <c r="T142" i="23"/>
  <c r="U142" i="23" s="1"/>
  <c r="T90" i="23"/>
  <c r="U90" i="23" s="1"/>
  <c r="T104" i="23"/>
  <c r="U104" i="23" s="1"/>
  <c r="T73" i="23"/>
  <c r="U73" i="23" s="1"/>
  <c r="T114" i="23"/>
  <c r="U114" i="23" s="1"/>
  <c r="T119" i="23"/>
  <c r="U119" i="23" s="1"/>
  <c r="T211" i="23"/>
  <c r="U211" i="23" s="1"/>
  <c r="T228" i="23"/>
  <c r="U228" i="23" s="1"/>
  <c r="T202" i="23"/>
  <c r="U202" i="23" s="1"/>
  <c r="T215" i="23"/>
  <c r="U215" i="23" s="1"/>
  <c r="T70" i="23"/>
  <c r="U70" i="23" s="1"/>
  <c r="T74" i="23"/>
  <c r="U74" i="23" s="1"/>
  <c r="T174" i="23"/>
  <c r="U174" i="23" s="1"/>
  <c r="T141" i="23"/>
  <c r="U141" i="23" s="1"/>
  <c r="T62" i="23"/>
  <c r="U62" i="23" s="1"/>
  <c r="T2" i="23"/>
  <c r="U2" i="23" s="1"/>
  <c r="T194" i="23"/>
  <c r="U194" i="23" s="1"/>
  <c r="T147" i="23"/>
  <c r="U147" i="23" s="1"/>
  <c r="T36" i="23"/>
  <c r="U36" i="23" s="1"/>
  <c r="T37" i="23"/>
  <c r="U37" i="23" s="1"/>
  <c r="T69" i="23"/>
  <c r="U69" i="23" s="1"/>
  <c r="T42" i="23"/>
  <c r="U42" i="23" s="1"/>
  <c r="T10" i="23"/>
  <c r="U10" i="23" s="1"/>
  <c r="T230" i="23"/>
  <c r="U230" i="23" s="1"/>
  <c r="T21" i="23"/>
  <c r="U21" i="23" s="1"/>
  <c r="T175" i="23"/>
  <c r="U175" i="23" s="1"/>
  <c r="T40" i="23"/>
  <c r="U40" i="23" s="1"/>
  <c r="T41" i="23"/>
  <c r="U41" i="23" s="1"/>
  <c r="T80" i="23"/>
  <c r="U80" i="23" s="1"/>
  <c r="T180" i="23"/>
  <c r="U180" i="23" s="1"/>
  <c r="T213" i="23"/>
  <c r="U213" i="23" s="1"/>
  <c r="U203" i="23"/>
  <c r="U124" i="23"/>
  <c r="U94" i="23"/>
  <c r="U91" i="23"/>
  <c r="U120" i="23"/>
  <c r="U143" i="23"/>
  <c r="U188" i="23"/>
  <c r="U159" i="23"/>
  <c r="U140" i="23"/>
  <c r="U19" i="23"/>
  <c r="U185" i="23"/>
  <c r="U45" i="23"/>
  <c r="U168" i="23"/>
  <c r="U229" i="23"/>
  <c r="V55" i="24"/>
  <c r="U56" i="24"/>
  <c r="V57" i="24"/>
  <c r="U155" i="23"/>
  <c r="U54" i="24"/>
  <c r="W54" i="24"/>
  <c r="U177" i="23"/>
  <c r="W57" i="24"/>
  <c r="U97" i="24"/>
  <c r="W55" i="24"/>
  <c r="U57" i="24"/>
  <c r="U95" i="24"/>
  <c r="V56" i="24"/>
  <c r="J97" i="24"/>
  <c r="T97" i="24"/>
  <c r="V54" i="24"/>
  <c r="U55" i="24"/>
  <c r="U96" i="24"/>
  <c r="AC75" i="21" l="1"/>
  <c r="AC76" i="21" s="1"/>
  <c r="AC77" i="21" s="1"/>
  <c r="AC78" i="21" s="1"/>
  <c r="AC79" i="21" s="1"/>
  <c r="AC80" i="21" s="1"/>
  <c r="AC81" i="21" s="1"/>
  <c r="AC82" i="21" s="1"/>
  <c r="AC83" i="21" s="1"/>
  <c r="AC84" i="21" s="1"/>
  <c r="AC85" i="21" s="1"/>
  <c r="AC86" i="21" s="1"/>
  <c r="AC87" i="21" s="1"/>
  <c r="AC88" i="21" s="1"/>
  <c r="AC89" i="21" s="1"/>
  <c r="AC90" i="21" s="1"/>
  <c r="AC91" i="21" s="1"/>
  <c r="AC92" i="21" s="1"/>
  <c r="AC93" i="21" s="1"/>
  <c r="AC94" i="21" s="1"/>
  <c r="AC95" i="21" s="1"/>
  <c r="AC96" i="21" s="1"/>
  <c r="AC97" i="21" s="1"/>
  <c r="AC98" i="21" s="1"/>
  <c r="AC99" i="21" s="1"/>
  <c r="AC100" i="21" s="1"/>
  <c r="AC101" i="21" s="1"/>
  <c r="AC102" i="21" s="1"/>
  <c r="AC103" i="21" s="1"/>
  <c r="AC104" i="21" s="1"/>
  <c r="AC105" i="21" s="1"/>
  <c r="AC106" i="21" s="1"/>
  <c r="AC107" i="21" s="1"/>
  <c r="AC108" i="21" s="1"/>
  <c r="AC109" i="21" s="1"/>
  <c r="AC110" i="21" s="1"/>
  <c r="AC111" i="21" s="1"/>
  <c r="AC112" i="21" s="1"/>
  <c r="AC113" i="21" s="1"/>
  <c r="AC114" i="21" s="1"/>
  <c r="AC115" i="21" s="1"/>
  <c r="AC116" i="21" s="1"/>
  <c r="AC117" i="21" s="1"/>
  <c r="AC118" i="21" s="1"/>
  <c r="AC119" i="21" s="1"/>
  <c r="AC120" i="21" s="1"/>
  <c r="AC121" i="21" s="1"/>
  <c r="AC122" i="21" s="1"/>
  <c r="AC123" i="21" s="1"/>
  <c r="AC124" i="21" s="1"/>
  <c r="AC125" i="21" s="1"/>
  <c r="AC126" i="21" s="1"/>
  <c r="AC127" i="21" s="1"/>
  <c r="AC128" i="21" s="1"/>
  <c r="AC129" i="21" s="1"/>
  <c r="AC130" i="21" s="1"/>
  <c r="AC131" i="21" s="1"/>
  <c r="AC132" i="21" s="1"/>
  <c r="AC133" i="21" s="1"/>
  <c r="AC134" i="21" s="1"/>
  <c r="AC135" i="21" s="1"/>
  <c r="AC136" i="21" s="1"/>
  <c r="AC137" i="21" s="1"/>
  <c r="AC138" i="21" s="1"/>
  <c r="AC139" i="21" s="1"/>
  <c r="AC140" i="21" s="1"/>
  <c r="AC141" i="21" s="1"/>
  <c r="AC142" i="21" s="1"/>
  <c r="AC143" i="21" s="1"/>
  <c r="AC144" i="21" s="1"/>
  <c r="AC145" i="21" s="1"/>
  <c r="AC146" i="21" s="1"/>
  <c r="AC147" i="21" s="1"/>
  <c r="AC148" i="21" s="1"/>
  <c r="AC149" i="21" s="1"/>
  <c r="AC150" i="21" s="1"/>
  <c r="AC151" i="21" s="1"/>
  <c r="AC152" i="21" s="1"/>
  <c r="AC153" i="21" s="1"/>
  <c r="AC154" i="21" s="1"/>
  <c r="AC155" i="21" s="1"/>
  <c r="AC156" i="21" s="1"/>
  <c r="AC157" i="21" s="1"/>
  <c r="AC158" i="21" s="1"/>
  <c r="AC159" i="21" s="1"/>
  <c r="AC160" i="21" s="1"/>
  <c r="AC161" i="21" s="1"/>
  <c r="AC162" i="21" s="1"/>
  <c r="AC163" i="21" s="1"/>
  <c r="AC164" i="21" s="1"/>
  <c r="E134" i="22" s="1"/>
  <c r="E194" i="22" s="1"/>
  <c r="AC52" i="21"/>
  <c r="S206" i="22"/>
  <c r="V206" i="22"/>
  <c r="D206" i="22"/>
  <c r="F206" i="22"/>
  <c r="K205" i="22"/>
  <c r="O102" i="24" s="1"/>
  <c r="N205" i="22"/>
  <c r="Q102" i="24" s="1"/>
  <c r="K204" i="22"/>
  <c r="N204" i="22"/>
  <c r="D203" i="22"/>
  <c r="U101" i="24" s="1"/>
  <c r="E89" i="24" s="1"/>
  <c r="F203" i="22"/>
  <c r="R101" i="24" s="1"/>
  <c r="K206" i="22"/>
  <c r="N206" i="22"/>
  <c r="K207" i="22"/>
  <c r="N207" i="22"/>
  <c r="D207" i="22"/>
  <c r="F207" i="22"/>
  <c r="C204" i="22"/>
  <c r="F204" i="22"/>
  <c r="T204" i="22"/>
  <c r="V204" i="22"/>
  <c r="K203" i="22"/>
  <c r="P102" i="24" s="1"/>
  <c r="N203" i="22"/>
  <c r="R102" i="24" s="1"/>
  <c r="T203" i="22"/>
  <c r="U103" i="24" s="1"/>
  <c r="E91" i="24" s="1"/>
  <c r="V203" i="22"/>
  <c r="R103" i="24" s="1"/>
  <c r="D205" i="22"/>
  <c r="J101" i="24" s="1"/>
  <c r="F205" i="22"/>
  <c r="Q101" i="24" s="1"/>
  <c r="S207" i="22"/>
  <c r="V207" i="22"/>
  <c r="C206" i="22"/>
  <c r="C205" i="22"/>
  <c r="O101" i="24" s="1"/>
  <c r="R56" i="24"/>
  <c r="L205" i="22"/>
  <c r="C207" i="22"/>
  <c r="L204" i="22"/>
  <c r="C203" i="22"/>
  <c r="P101" i="24" s="1"/>
  <c r="L206" i="22"/>
  <c r="Q54" i="24"/>
  <c r="Q56" i="24"/>
  <c r="S204" i="22"/>
  <c r="R54" i="24"/>
  <c r="P55" i="24"/>
  <c r="R55" i="24"/>
  <c r="R57" i="24"/>
  <c r="S203" i="22"/>
  <c r="P103" i="24" s="1"/>
  <c r="P56" i="24"/>
  <c r="Q57" i="24"/>
  <c r="Q55" i="24"/>
  <c r="T207" i="22"/>
  <c r="L203" i="22"/>
  <c r="U102" i="24" s="1"/>
  <c r="E90" i="24" s="1"/>
  <c r="D204" i="22"/>
  <c r="P57" i="24"/>
  <c r="T206" i="22"/>
  <c r="U147" i="22"/>
  <c r="X207" i="22" s="1"/>
  <c r="U143" i="22"/>
  <c r="X203" i="22" s="1"/>
  <c r="M144" i="22"/>
  <c r="P204" i="22" s="1"/>
  <c r="E144" i="22"/>
  <c r="H204" i="22" s="1"/>
  <c r="U145" i="22"/>
  <c r="X205" i="22" s="1"/>
  <c r="AA103" i="24" s="1"/>
  <c r="M146" i="22"/>
  <c r="P206" i="22" s="1"/>
  <c r="E145" i="22"/>
  <c r="H205" i="22" s="1"/>
  <c r="AA101" i="24" s="1"/>
  <c r="M147" i="22"/>
  <c r="P207" i="22" s="1"/>
  <c r="E146" i="22"/>
  <c r="H206" i="22" s="1"/>
  <c r="E147" i="22"/>
  <c r="H207" i="22" s="1"/>
  <c r="U146" i="22"/>
  <c r="X206" i="22" s="1"/>
  <c r="M145" i="22"/>
  <c r="P205" i="22" s="1"/>
  <c r="AA102" i="24" s="1"/>
  <c r="E143" i="22"/>
  <c r="H203" i="22" s="1"/>
  <c r="U144" i="22"/>
  <c r="X204" i="22" s="1"/>
  <c r="M143" i="22"/>
  <c r="P203" i="22" s="1"/>
  <c r="S197" i="22"/>
  <c r="W197" i="22"/>
  <c r="V197" i="22"/>
  <c r="E107" i="22"/>
  <c r="Z46" i="24" s="1"/>
  <c r="E116" i="22"/>
  <c r="E125" i="22"/>
  <c r="U205" i="22"/>
  <c r="Y103" i="24" s="1"/>
  <c r="M108" i="22"/>
  <c r="M126" i="22"/>
  <c r="M117" i="22"/>
  <c r="U109" i="22"/>
  <c r="U127" i="22"/>
  <c r="U118" i="22"/>
  <c r="G194" i="22"/>
  <c r="W95" i="24" s="1"/>
  <c r="F194" i="22"/>
  <c r="R95" i="24" s="1"/>
  <c r="W101" i="24"/>
  <c r="G89" i="24" s="1"/>
  <c r="P95" i="24"/>
  <c r="G195" i="22"/>
  <c r="F195" i="22"/>
  <c r="C195" i="22"/>
  <c r="E205" i="22"/>
  <c r="Y101" i="24" s="1"/>
  <c r="E207" i="22"/>
  <c r="M110" i="22"/>
  <c r="M128" i="22"/>
  <c r="M119" i="22"/>
  <c r="F197" i="22"/>
  <c r="G197" i="22"/>
  <c r="C197" i="22"/>
  <c r="K196" i="22"/>
  <c r="O96" i="24" s="1"/>
  <c r="V102" i="24"/>
  <c r="F90" i="24" s="1"/>
  <c r="O196" i="22"/>
  <c r="V96" i="24" s="1"/>
  <c r="N196" i="22"/>
  <c r="Q96" i="24" s="1"/>
  <c r="U204" i="22"/>
  <c r="M207" i="22"/>
  <c r="U111" i="22"/>
  <c r="U129" i="22"/>
  <c r="U120" i="22"/>
  <c r="F89" i="24"/>
  <c r="G196" i="22"/>
  <c r="L95" i="24" s="1"/>
  <c r="F196" i="22"/>
  <c r="Q95" i="24" s="1"/>
  <c r="C196" i="22"/>
  <c r="O95" i="24" s="1"/>
  <c r="S195" i="22"/>
  <c r="W195" i="22"/>
  <c r="V195" i="22"/>
  <c r="U207" i="22"/>
  <c r="M203" i="22"/>
  <c r="E203" i="22"/>
  <c r="M109" i="22"/>
  <c r="M127" i="22"/>
  <c r="M118" i="22"/>
  <c r="F198" i="22"/>
  <c r="G198" i="22"/>
  <c r="C198" i="22"/>
  <c r="T103" i="24"/>
  <c r="E204" i="22"/>
  <c r="U108" i="22"/>
  <c r="U126" i="22"/>
  <c r="U117" i="22"/>
  <c r="U203" i="22"/>
  <c r="S194" i="22"/>
  <c r="P97" i="24" s="1"/>
  <c r="W103" i="24"/>
  <c r="G91" i="24" s="1"/>
  <c r="W194" i="22"/>
  <c r="W97" i="24" s="1"/>
  <c r="V194" i="22"/>
  <c r="R97" i="24" s="1"/>
  <c r="U206" i="22"/>
  <c r="M205" i="22"/>
  <c r="Y102" i="24" s="1"/>
  <c r="E109" i="22"/>
  <c r="E118" i="22"/>
  <c r="E127" i="22"/>
  <c r="K195" i="22"/>
  <c r="O195" i="22"/>
  <c r="N195" i="22"/>
  <c r="E108" i="22"/>
  <c r="E126" i="22"/>
  <c r="E117" i="22"/>
  <c r="S196" i="22"/>
  <c r="O97" i="24" s="1"/>
  <c r="Q103" i="24"/>
  <c r="W196" i="22"/>
  <c r="V196" i="22"/>
  <c r="Q97" i="24" s="1"/>
  <c r="E111" i="22"/>
  <c r="E129" i="22"/>
  <c r="E120" i="22"/>
  <c r="M107" i="22"/>
  <c r="M125" i="22"/>
  <c r="M116" i="22"/>
  <c r="K197" i="22"/>
  <c r="O197" i="22"/>
  <c r="N197" i="22"/>
  <c r="K198" i="22"/>
  <c r="O198" i="22"/>
  <c r="N198" i="22"/>
  <c r="M204" i="22"/>
  <c r="E110" i="22"/>
  <c r="E128" i="22"/>
  <c r="E119" i="22"/>
  <c r="M111" i="22"/>
  <c r="M129" i="22"/>
  <c r="M120" i="22"/>
  <c r="S198" i="22"/>
  <c r="W198" i="22"/>
  <c r="V198" i="22"/>
  <c r="M206" i="22"/>
  <c r="E206" i="22"/>
  <c r="P46" i="24"/>
  <c r="U107" i="22"/>
  <c r="U125" i="22"/>
  <c r="U116" i="22"/>
  <c r="U110" i="22"/>
  <c r="U128" i="22"/>
  <c r="U119" i="22"/>
  <c r="K194" i="22"/>
  <c r="P96" i="24" s="1"/>
  <c r="O194" i="22"/>
  <c r="W96" i="24" s="1"/>
  <c r="N194" i="22"/>
  <c r="R96" i="24" s="1"/>
  <c r="W102" i="24"/>
  <c r="G90" i="24" s="1"/>
  <c r="V74" i="23"/>
  <c r="V220" i="23"/>
  <c r="V197" i="23"/>
  <c r="V33" i="23"/>
  <c r="V22" i="23"/>
  <c r="V89" i="23"/>
  <c r="V213" i="23"/>
  <c r="V19" i="23"/>
  <c r="V200" i="23"/>
  <c r="V71" i="23"/>
  <c r="V218" i="23"/>
  <c r="V98" i="23"/>
  <c r="V126" i="23"/>
  <c r="V211" i="23"/>
  <c r="V228" i="23"/>
  <c r="V66" i="23"/>
  <c r="V52" i="23"/>
  <c r="V114" i="23"/>
  <c r="V12" i="23"/>
  <c r="V24" i="23"/>
  <c r="V221" i="23"/>
  <c r="V81" i="23"/>
  <c r="V212" i="23"/>
  <c r="V230" i="23"/>
  <c r="V130" i="23"/>
  <c r="V129" i="23"/>
  <c r="V127" i="23"/>
  <c r="V128" i="23"/>
  <c r="V157" i="23"/>
  <c r="V136" i="23"/>
  <c r="V132" i="23"/>
  <c r="V184" i="23"/>
  <c r="V206" i="23"/>
  <c r="V59" i="23"/>
  <c r="V30" i="23"/>
  <c r="V196" i="23"/>
  <c r="V149" i="23"/>
  <c r="V210" i="23"/>
  <c r="V15" i="23"/>
  <c r="V183" i="23"/>
  <c r="V224" i="23"/>
  <c r="V185" i="23"/>
  <c r="V116" i="23"/>
  <c r="V195" i="23"/>
  <c r="V50" i="23"/>
  <c r="V76" i="23"/>
  <c r="V144" i="23"/>
  <c r="V21" i="23"/>
  <c r="V85" i="23"/>
  <c r="V163" i="23"/>
  <c r="V202" i="23"/>
  <c r="V186" i="23"/>
  <c r="V223" i="23"/>
  <c r="V69" i="23"/>
  <c r="V222" i="23"/>
  <c r="V152" i="23"/>
  <c r="V142" i="23"/>
  <c r="V154" i="23"/>
  <c r="V32" i="23"/>
  <c r="V72" i="23"/>
  <c r="V111" i="23"/>
  <c r="V96" i="23"/>
  <c r="V95" i="23"/>
  <c r="V94" i="23"/>
  <c r="V34" i="23"/>
  <c r="V187" i="23"/>
  <c r="V161" i="23"/>
  <c r="V219" i="23"/>
  <c r="V198" i="23"/>
  <c r="V164" i="23"/>
  <c r="V120" i="23"/>
  <c r="V107" i="23"/>
  <c r="V124" i="23"/>
  <c r="V49" i="23"/>
  <c r="V20" i="23"/>
  <c r="V178" i="23"/>
  <c r="V236" i="23"/>
  <c r="V55" i="23"/>
  <c r="V216" i="23"/>
  <c r="V190" i="23"/>
  <c r="V227" i="23"/>
  <c r="V41" i="23"/>
  <c r="V215" i="23"/>
  <c r="V40" i="23"/>
  <c r="V125" i="23"/>
  <c r="V43" i="23"/>
  <c r="V11" i="23"/>
  <c r="V10" i="23"/>
  <c r="V61" i="23"/>
  <c r="V42" i="23"/>
  <c r="V26" i="23"/>
  <c r="V123" i="23"/>
  <c r="V205" i="23"/>
  <c r="V6" i="23"/>
  <c r="V48" i="23"/>
  <c r="V169" i="23"/>
  <c r="V148" i="23"/>
  <c r="V168" i="23"/>
  <c r="V117" i="23"/>
  <c r="V122" i="23"/>
  <c r="V5" i="23"/>
  <c r="V166" i="23"/>
  <c r="V23" i="23"/>
  <c r="V38" i="23"/>
  <c r="V31" i="23"/>
  <c r="V139" i="23"/>
  <c r="V208" i="23"/>
  <c r="V188" i="23"/>
  <c r="V199" i="23"/>
  <c r="V167" i="23"/>
  <c r="V153" i="23"/>
  <c r="V165" i="23"/>
  <c r="V51" i="23"/>
  <c r="V29" i="23"/>
  <c r="V176" i="23"/>
  <c r="V238" i="23"/>
  <c r="V101" i="23"/>
  <c r="V182" i="23"/>
  <c r="V70" i="23"/>
  <c r="V8" i="23"/>
  <c r="V97" i="23"/>
  <c r="V159" i="23"/>
  <c r="V119" i="23"/>
  <c r="V67" i="23"/>
  <c r="V27" i="23"/>
  <c r="V170" i="23"/>
  <c r="V56" i="23"/>
  <c r="V100" i="23"/>
  <c r="V14" i="23"/>
  <c r="V17" i="23"/>
  <c r="V143" i="23"/>
  <c r="V25" i="23"/>
  <c r="V175" i="23"/>
  <c r="V147" i="23"/>
  <c r="V121" i="23"/>
  <c r="V92" i="23"/>
  <c r="V75" i="23"/>
  <c r="V77" i="23"/>
  <c r="V102" i="23"/>
  <c r="V156" i="23"/>
  <c r="V203" i="23"/>
  <c r="V158" i="23"/>
  <c r="V99" i="23"/>
  <c r="V54" i="23"/>
  <c r="V46" i="23"/>
  <c r="V79" i="23"/>
  <c r="V177" i="23"/>
  <c r="V108" i="23"/>
  <c r="V60" i="23"/>
  <c r="V104" i="23"/>
  <c r="V233" i="23"/>
  <c r="V173" i="23"/>
  <c r="V180" i="23"/>
  <c r="V179" i="23"/>
  <c r="V134" i="23"/>
  <c r="V13" i="23"/>
  <c r="V133" i="23"/>
  <c r="V204" i="23"/>
  <c r="V93" i="23"/>
  <c r="V229" i="23"/>
  <c r="V91" i="23"/>
  <c r="V201" i="23"/>
  <c r="V53" i="23"/>
  <c r="V155" i="23"/>
  <c r="V62" i="23"/>
  <c r="V209" i="23"/>
  <c r="V172" i="23"/>
  <c r="V45" i="23"/>
  <c r="V80" i="23"/>
  <c r="V162" i="23"/>
  <c r="V194" i="23"/>
  <c r="V9" i="23"/>
  <c r="V44" i="23"/>
  <c r="V18" i="23"/>
  <c r="V151" i="23"/>
  <c r="V16" i="23"/>
  <c r="V181" i="23"/>
  <c r="V131" i="23"/>
  <c r="V150" i="23"/>
  <c r="V214" i="23"/>
  <c r="V118" i="23"/>
  <c r="V47" i="23"/>
  <c r="V2" i="23"/>
  <c r="V37" i="23"/>
  <c r="J96" i="24"/>
  <c r="T96" i="24"/>
  <c r="V235" i="23"/>
  <c r="V174" i="23"/>
  <c r="T101" i="24"/>
  <c r="D89" i="24" s="1"/>
  <c r="V146" i="23"/>
  <c r="V141" i="23"/>
  <c r="T95" i="24"/>
  <c r="J95" i="24"/>
  <c r="V64" i="23"/>
  <c r="V189" i="23"/>
  <c r="H43" i="22" s="1"/>
  <c r="G38" i="24" s="1"/>
  <c r="V36" i="23"/>
  <c r="V140" i="23"/>
  <c r="V193" i="23"/>
  <c r="V207" i="23"/>
  <c r="V4" i="23"/>
  <c r="V39" i="23"/>
  <c r="V135" i="23"/>
  <c r="V171" i="23"/>
  <c r="V225" i="23"/>
  <c r="H45" i="22" s="1"/>
  <c r="G40" i="24" s="1"/>
  <c r="V192" i="23"/>
  <c r="V106" i="23"/>
  <c r="V160" i="23"/>
  <c r="V82" i="23"/>
  <c r="V217" i="23"/>
  <c r="V234" i="23"/>
  <c r="V137" i="23"/>
  <c r="V87" i="23"/>
  <c r="V83" i="23"/>
  <c r="V145" i="23"/>
  <c r="V28" i="23"/>
  <c r="V138" i="23"/>
  <c r="V78" i="23"/>
  <c r="V73" i="23"/>
  <c r="V231" i="23"/>
  <c r="V88" i="23"/>
  <c r="V105" i="23"/>
  <c r="V65" i="23"/>
  <c r="V84" i="23"/>
  <c r="V112" i="23"/>
  <c r="V3" i="23"/>
  <c r="V232" i="23"/>
  <c r="V7" i="23"/>
  <c r="V226" i="23"/>
  <c r="V90" i="23"/>
  <c r="V103" i="23"/>
  <c r="V237" i="23"/>
  <c r="V115" i="23"/>
  <c r="V86" i="23"/>
  <c r="V35" i="23"/>
  <c r="V113" i="23"/>
  <c r="V63" i="23"/>
  <c r="V109" i="23"/>
  <c r="V191" i="23"/>
  <c r="V58" i="23"/>
  <c r="V68" i="23"/>
  <c r="V110" i="23"/>
  <c r="V57" i="23"/>
  <c r="E136" i="22" l="1"/>
  <c r="E196" i="22" s="1"/>
  <c r="Y95" i="24" s="1"/>
  <c r="H194" i="22"/>
  <c r="AB95" i="24" s="1"/>
  <c r="G83" i="24" s="1"/>
  <c r="H198" i="22"/>
  <c r="X195" i="22"/>
  <c r="M137" i="22"/>
  <c r="M197" i="22" s="1"/>
  <c r="U136" i="22"/>
  <c r="U196" i="22" s="1"/>
  <c r="Y97" i="24" s="1"/>
  <c r="D85" i="24" s="1"/>
  <c r="P197" i="22"/>
  <c r="X196" i="22"/>
  <c r="AA97" i="24" s="1"/>
  <c r="M138" i="22"/>
  <c r="M198" i="22" s="1"/>
  <c r="H196" i="22"/>
  <c r="AA95" i="24" s="1"/>
  <c r="M134" i="22"/>
  <c r="M194" i="22" s="1"/>
  <c r="Z96" i="24" s="1"/>
  <c r="E84" i="24" s="1"/>
  <c r="X197" i="22"/>
  <c r="U135" i="22"/>
  <c r="U195" i="22" s="1"/>
  <c r="X194" i="22"/>
  <c r="AB97" i="24" s="1"/>
  <c r="G85" i="24" s="1"/>
  <c r="M136" i="22"/>
  <c r="M196" i="22" s="1"/>
  <c r="Y96" i="24" s="1"/>
  <c r="U137" i="22"/>
  <c r="U197" i="22" s="1"/>
  <c r="P196" i="22"/>
  <c r="AA96" i="24" s="1"/>
  <c r="H195" i="22"/>
  <c r="P195" i="22"/>
  <c r="D107" i="21"/>
  <c r="E138" i="22"/>
  <c r="E198" i="22" s="1"/>
  <c r="P194" i="22"/>
  <c r="AB96" i="24" s="1"/>
  <c r="G84" i="24" s="1"/>
  <c r="P198" i="22"/>
  <c r="M135" i="22"/>
  <c r="M195" i="22" s="1"/>
  <c r="H197" i="22"/>
  <c r="X198" i="22"/>
  <c r="U134" i="22"/>
  <c r="U194" i="22" s="1"/>
  <c r="K97" i="24" s="1"/>
  <c r="U138" i="22"/>
  <c r="U198" i="22" s="1"/>
  <c r="E137" i="22"/>
  <c r="E197" i="22" s="1"/>
  <c r="E135" i="22"/>
  <c r="E195" i="22" s="1"/>
  <c r="D83" i="24"/>
  <c r="H97" i="24" s="1"/>
  <c r="F98" i="24" s="1"/>
  <c r="G98" i="24" s="1" a="1"/>
  <c r="G98" i="24" s="1"/>
  <c r="T102" i="24"/>
  <c r="D90" i="24" s="1"/>
  <c r="J102" i="24"/>
  <c r="F84" i="24"/>
  <c r="D91" i="24"/>
  <c r="D84" i="24"/>
  <c r="V95" i="24"/>
  <c r="F83" i="24" s="1"/>
  <c r="L102" i="24"/>
  <c r="L96" i="24"/>
  <c r="K46" i="24"/>
  <c r="K53" i="24" s="1"/>
  <c r="L101" i="24"/>
  <c r="AB49" i="24"/>
  <c r="M49" i="24"/>
  <c r="Z53" i="24"/>
  <c r="K66" i="24"/>
  <c r="K73" i="24" s="1"/>
  <c r="Z48" i="24"/>
  <c r="K48" i="24"/>
  <c r="AB47" i="24"/>
  <c r="M47" i="24"/>
  <c r="L48" i="24"/>
  <c r="AA48" i="24"/>
  <c r="M46" i="24"/>
  <c r="M53" i="24" s="1"/>
  <c r="AB46" i="24"/>
  <c r="Z47" i="24"/>
  <c r="Z54" i="24" s="1"/>
  <c r="K47" i="24"/>
  <c r="L46" i="24"/>
  <c r="AA46" i="24"/>
  <c r="AA53" i="24" s="1"/>
  <c r="P53" i="24"/>
  <c r="P54" i="24"/>
  <c r="M48" i="24"/>
  <c r="AB48" i="24"/>
  <c r="AA50" i="24"/>
  <c r="L50" i="24"/>
  <c r="K50" i="24"/>
  <c r="Z50" i="24"/>
  <c r="L47" i="24"/>
  <c r="AA47" i="24"/>
  <c r="K49" i="24"/>
  <c r="Z49" i="24"/>
  <c r="V97" i="24"/>
  <c r="F85" i="24" s="1"/>
  <c r="L97" i="24"/>
  <c r="L103" i="24"/>
  <c r="V103" i="24"/>
  <c r="F91" i="24" s="1"/>
  <c r="L49" i="24"/>
  <c r="AA49" i="24"/>
  <c r="AB50" i="24"/>
  <c r="M50" i="24"/>
  <c r="H44" i="22"/>
  <c r="G39" i="24" s="1"/>
  <c r="W128" i="23"/>
  <c r="W127" i="23"/>
  <c r="W129" i="23"/>
  <c r="W130" i="23"/>
  <c r="M95" i="24"/>
  <c r="AB102" i="24"/>
  <c r="M102" i="24"/>
  <c r="Z102" i="24"/>
  <c r="K102" i="24"/>
  <c r="Z103" i="24"/>
  <c r="K103" i="24"/>
  <c r="AB103" i="24"/>
  <c r="M103" i="24"/>
  <c r="K95" i="24"/>
  <c r="Z95" i="24"/>
  <c r="E83" i="24" s="1"/>
  <c r="AB101" i="24"/>
  <c r="M101" i="24"/>
  <c r="K101" i="24"/>
  <c r="Z101" i="24"/>
  <c r="W95" i="23"/>
  <c r="X95" i="23" s="1"/>
  <c r="Z95" i="23" s="1"/>
  <c r="A95" i="23" s="1"/>
  <c r="W164" i="23"/>
  <c r="X164" i="23" s="1"/>
  <c r="Z164" i="23" s="1"/>
  <c r="A164" i="23" s="1"/>
  <c r="W71" i="23"/>
  <c r="X71" i="23" s="1"/>
  <c r="Z71" i="23" s="1"/>
  <c r="A71" i="23" s="1"/>
  <c r="W233" i="23"/>
  <c r="X233" i="23" s="1"/>
  <c r="Z233" i="23" s="1"/>
  <c r="A233" i="23" s="1"/>
  <c r="W45" i="23"/>
  <c r="X45" i="23" s="1"/>
  <c r="Z45" i="23" s="1"/>
  <c r="A45" i="23" s="1"/>
  <c r="W48" i="23"/>
  <c r="X48" i="23" s="1"/>
  <c r="Z48" i="23" s="1"/>
  <c r="A48" i="23" s="1"/>
  <c r="W103" i="23"/>
  <c r="X103" i="23" s="1"/>
  <c r="Z103" i="23" s="1"/>
  <c r="A103" i="23" s="1"/>
  <c r="W147" i="23"/>
  <c r="X147" i="23" s="1"/>
  <c r="W181" i="23"/>
  <c r="X181" i="23" s="1"/>
  <c r="Z181" i="23" s="1"/>
  <c r="A181" i="23" s="1"/>
  <c r="W203" i="23"/>
  <c r="X203" i="23" s="1"/>
  <c r="Z203" i="23" s="1"/>
  <c r="A203" i="23" s="1"/>
  <c r="W153" i="23"/>
  <c r="X153" i="23" s="1"/>
  <c r="Z153" i="23" s="1"/>
  <c r="A153" i="23" s="1"/>
  <c r="W112" i="23"/>
  <c r="X112" i="23" s="1"/>
  <c r="Z112" i="23" s="1"/>
  <c r="A112" i="23" s="1"/>
  <c r="W59" i="23"/>
  <c r="X59" i="23" s="1"/>
  <c r="Z59" i="23" s="1"/>
  <c r="A59" i="23" s="1"/>
  <c r="W79" i="23"/>
  <c r="X79" i="23" s="1"/>
  <c r="Z79" i="23" s="1"/>
  <c r="A79" i="23" s="1"/>
  <c r="W213" i="23"/>
  <c r="X213" i="23" s="1"/>
  <c r="Z213" i="23" s="1"/>
  <c r="A213" i="23" s="1"/>
  <c r="W43" i="23"/>
  <c r="X43" i="23" s="1"/>
  <c r="Z43" i="23" s="1"/>
  <c r="A43" i="23" s="1"/>
  <c r="W53" i="23"/>
  <c r="X53" i="23" s="1"/>
  <c r="Z53" i="23" s="1"/>
  <c r="A53" i="23" s="1"/>
  <c r="W42" i="23"/>
  <c r="X42" i="23" s="1"/>
  <c r="Z42" i="23" s="1"/>
  <c r="A42" i="23" s="1"/>
  <c r="W208" i="23"/>
  <c r="X208" i="23" s="1"/>
  <c r="Z208" i="23" s="1"/>
  <c r="A208" i="23" s="1"/>
  <c r="W225" i="23"/>
  <c r="X225" i="23" s="1"/>
  <c r="Z225" i="23" s="1"/>
  <c r="A225" i="23" s="1"/>
  <c r="W9" i="23"/>
  <c r="X9" i="23" s="1"/>
  <c r="W33" i="23"/>
  <c r="X33" i="23" s="1"/>
  <c r="Z33" i="23" s="1"/>
  <c r="A33" i="23" s="1"/>
  <c r="W154" i="23"/>
  <c r="X154" i="23" s="1"/>
  <c r="Z154" i="23" s="1"/>
  <c r="A154" i="23" s="1"/>
  <c r="W101" i="23"/>
  <c r="X101" i="23" s="1"/>
  <c r="Z101" i="23" s="1"/>
  <c r="A101" i="23" s="1"/>
  <c r="W23" i="23"/>
  <c r="X23" i="23" s="1"/>
  <c r="W17" i="23"/>
  <c r="X17" i="23" s="1"/>
  <c r="Z17" i="23" s="1"/>
  <c r="A17" i="23" s="1"/>
  <c r="W140" i="23"/>
  <c r="X140" i="23" s="1"/>
  <c r="W64" i="23"/>
  <c r="X64" i="23" s="1"/>
  <c r="Z64" i="23" s="1"/>
  <c r="A64" i="23" s="1"/>
  <c r="W97" i="23"/>
  <c r="X97" i="23" s="1"/>
  <c r="Z97" i="23" s="1"/>
  <c r="A97" i="23" s="1"/>
  <c r="W92" i="23"/>
  <c r="X92" i="23" s="1"/>
  <c r="Z92" i="23" s="1"/>
  <c r="A92" i="23" s="1"/>
  <c r="W29" i="23"/>
  <c r="X29" i="23" s="1"/>
  <c r="Z29" i="23" s="1"/>
  <c r="A29" i="23" s="1"/>
  <c r="W85" i="23"/>
  <c r="X85" i="23" s="1"/>
  <c r="Z85" i="23" s="1"/>
  <c r="A85" i="23" s="1"/>
  <c r="W84" i="23"/>
  <c r="X84" i="23" s="1"/>
  <c r="Z84" i="23" s="1"/>
  <c r="A84" i="23" s="1"/>
  <c r="W190" i="23"/>
  <c r="X190" i="23" s="1"/>
  <c r="Z190" i="23" s="1"/>
  <c r="A190" i="23" s="1"/>
  <c r="W99" i="23"/>
  <c r="X99" i="23" s="1"/>
  <c r="Z99" i="23" s="1"/>
  <c r="A99" i="23" s="1"/>
  <c r="W113" i="23"/>
  <c r="X113" i="23" s="1"/>
  <c r="Z113" i="23" s="1"/>
  <c r="A113" i="23" s="1"/>
  <c r="W115" i="23"/>
  <c r="X115" i="23" s="1"/>
  <c r="Z115" i="23" s="1"/>
  <c r="A115" i="23" s="1"/>
  <c r="W56" i="23"/>
  <c r="X56" i="23" s="1"/>
  <c r="W148" i="23"/>
  <c r="X148" i="23" s="1"/>
  <c r="Z148" i="23" s="1"/>
  <c r="A148" i="23" s="1"/>
  <c r="W102" i="23"/>
  <c r="X102" i="23" s="1"/>
  <c r="Z102" i="23" s="1"/>
  <c r="A102" i="23" s="1"/>
  <c r="W15" i="23"/>
  <c r="X15" i="23" s="1"/>
  <c r="Z15" i="23" s="1"/>
  <c r="A15" i="23" s="1"/>
  <c r="W234" i="23"/>
  <c r="X234" i="23" s="1"/>
  <c r="Z234" i="23" s="1"/>
  <c r="A234" i="23" s="1"/>
  <c r="W228" i="23"/>
  <c r="X228" i="23" s="1"/>
  <c r="Z228" i="23" s="1"/>
  <c r="A228" i="23" s="1"/>
  <c r="W36" i="23"/>
  <c r="X36" i="23" s="1"/>
  <c r="Z36" i="23" s="1"/>
  <c r="A36" i="23" s="1"/>
  <c r="W215" i="23"/>
  <c r="X215" i="23" s="1"/>
  <c r="Z215" i="23" s="1"/>
  <c r="A215" i="23" s="1"/>
  <c r="W108" i="23"/>
  <c r="X108" i="23" s="1"/>
  <c r="Z108" i="23" s="1"/>
  <c r="A108" i="23" s="1"/>
  <c r="W89" i="23"/>
  <c r="X89" i="23" s="1"/>
  <c r="Z89" i="23" s="1"/>
  <c r="A89" i="23" s="1"/>
  <c r="W167" i="23"/>
  <c r="X167" i="23" s="1"/>
  <c r="Z167" i="23" s="1"/>
  <c r="A167" i="23" s="1"/>
  <c r="W131" i="23"/>
  <c r="X131" i="23" s="1"/>
  <c r="W139" i="23"/>
  <c r="X139" i="23" s="1"/>
  <c r="Z139" i="23" s="1"/>
  <c r="A139" i="23" s="1"/>
  <c r="W14" i="23"/>
  <c r="X14" i="23" s="1"/>
  <c r="Z14" i="23" s="1"/>
  <c r="A14" i="23" s="1"/>
  <c r="W141" i="23"/>
  <c r="X141" i="23" s="1"/>
  <c r="Z141" i="23" s="1"/>
  <c r="A141" i="23" s="1"/>
  <c r="W183" i="23"/>
  <c r="X183" i="23" s="1"/>
  <c r="Z183" i="23" s="1"/>
  <c r="A183" i="23" s="1"/>
  <c r="W205" i="23"/>
  <c r="X205" i="23" s="1"/>
  <c r="Z205" i="23" s="1"/>
  <c r="A205" i="23" s="1"/>
  <c r="W123" i="23"/>
  <c r="X123" i="23" s="1"/>
  <c r="Z123" i="23" s="1"/>
  <c r="A123" i="23" s="1"/>
  <c r="W93" i="23"/>
  <c r="X93" i="23" s="1"/>
  <c r="Z93" i="23" s="1"/>
  <c r="A93" i="23" s="1"/>
  <c r="W230" i="23"/>
  <c r="X230" i="23" s="1"/>
  <c r="Z230" i="23" s="1"/>
  <c r="A230" i="23" s="1"/>
  <c r="W180" i="23"/>
  <c r="X180" i="23" s="1"/>
  <c r="Z180" i="23" s="1"/>
  <c r="A180" i="23" s="1"/>
  <c r="W156" i="23"/>
  <c r="X156" i="23" s="1"/>
  <c r="Z156" i="23" s="1"/>
  <c r="A156" i="23" s="1"/>
  <c r="W238" i="23"/>
  <c r="X238" i="23" s="1"/>
  <c r="Z238" i="23" s="1"/>
  <c r="A238" i="23" s="1"/>
  <c r="W198" i="23"/>
  <c r="X198" i="23" s="1"/>
  <c r="Z198" i="23" s="1"/>
  <c r="A198" i="23" s="1"/>
  <c r="W109" i="23"/>
  <c r="X109" i="23" s="1"/>
  <c r="Z109" i="23" s="1"/>
  <c r="A109" i="23" s="1"/>
  <c r="W35" i="23"/>
  <c r="X35" i="23" s="1"/>
  <c r="Z35" i="23" s="1"/>
  <c r="A35" i="23" s="1"/>
  <c r="W157" i="23"/>
  <c r="X157" i="23" s="1"/>
  <c r="Z157" i="23" s="1"/>
  <c r="A157" i="23" s="1"/>
  <c r="W222" i="23"/>
  <c r="X222" i="23" s="1"/>
  <c r="Z222" i="23" s="1"/>
  <c r="A222" i="23" s="1"/>
  <c r="W163" i="23"/>
  <c r="X163" i="23" s="1"/>
  <c r="Z163" i="23" s="1"/>
  <c r="A163" i="23" s="1"/>
  <c r="W218" i="23"/>
  <c r="X218" i="23" s="1"/>
  <c r="Z218" i="23" s="1"/>
  <c r="A218" i="23" s="1"/>
  <c r="W171" i="23"/>
  <c r="X171" i="23" s="1"/>
  <c r="W231" i="23"/>
  <c r="X231" i="23" s="1"/>
  <c r="Z231" i="23" s="1"/>
  <c r="A231" i="23" s="1"/>
  <c r="W26" i="23"/>
  <c r="X26" i="23" s="1"/>
  <c r="Z26" i="23" s="1"/>
  <c r="A26" i="23" s="1"/>
  <c r="W179" i="23"/>
  <c r="X179" i="23" s="1"/>
  <c r="Z179" i="23" s="1"/>
  <c r="A179" i="23" s="1"/>
  <c r="W159" i="23"/>
  <c r="X159" i="23" s="1"/>
  <c r="Z159" i="23" s="1"/>
  <c r="A159" i="23" s="1"/>
  <c r="W146" i="23"/>
  <c r="X146" i="23" s="1"/>
  <c r="W158" i="23"/>
  <c r="X158" i="23" s="1"/>
  <c r="Z158" i="23" s="1"/>
  <c r="A158" i="23" s="1"/>
  <c r="W214" i="23"/>
  <c r="X214" i="23" s="1"/>
  <c r="Z214" i="23" s="1"/>
  <c r="A214" i="23" s="1"/>
  <c r="W100" i="23"/>
  <c r="X100" i="23" s="1"/>
  <c r="Z100" i="23" s="1"/>
  <c r="A100" i="23" s="1"/>
  <c r="W173" i="23"/>
  <c r="X173" i="23" s="1"/>
  <c r="Z173" i="23" s="1"/>
  <c r="A173" i="23" s="1"/>
  <c r="W24" i="23"/>
  <c r="X24" i="23" s="1"/>
  <c r="W124" i="23"/>
  <c r="X124" i="23" s="1"/>
  <c r="Z124" i="23" s="1"/>
  <c r="A124" i="23" s="1"/>
  <c r="W199" i="23"/>
  <c r="X199" i="23" s="1"/>
  <c r="Z199" i="23" s="1"/>
  <c r="A199" i="23" s="1"/>
  <c r="W136" i="23"/>
  <c r="X136" i="23" s="1"/>
  <c r="Z136" i="23" s="1"/>
  <c r="A136" i="23" s="1"/>
  <c r="W94" i="23"/>
  <c r="X94" i="23" s="1"/>
  <c r="Z94" i="23" s="1"/>
  <c r="A94" i="23" s="1"/>
  <c r="W58" i="23"/>
  <c r="X58" i="23" s="1"/>
  <c r="Z58" i="23" s="1"/>
  <c r="A58" i="23" s="1"/>
  <c r="W191" i="23"/>
  <c r="X191" i="23" s="1"/>
  <c r="Z191" i="23" s="1"/>
  <c r="A191" i="23" s="1"/>
  <c r="W8" i="23"/>
  <c r="X8" i="23" s="1"/>
  <c r="W21" i="23"/>
  <c r="X21" i="23" s="1"/>
  <c r="Z21" i="23" s="1"/>
  <c r="A21" i="23" s="1"/>
  <c r="W184" i="23"/>
  <c r="X184" i="23" s="1"/>
  <c r="Z184" i="23" s="1"/>
  <c r="A184" i="23" s="1"/>
  <c r="W86" i="23"/>
  <c r="X86" i="23" s="1"/>
  <c r="Z86" i="23" s="1"/>
  <c r="A86" i="23" s="1"/>
  <c r="W61" i="23"/>
  <c r="X61" i="23" s="1"/>
  <c r="Z61" i="23" s="1"/>
  <c r="A61" i="23" s="1"/>
  <c r="W217" i="23"/>
  <c r="X217" i="23" s="1"/>
  <c r="Z217" i="23" s="1"/>
  <c r="A217" i="23" s="1"/>
  <c r="W200" i="23"/>
  <c r="X200" i="23" s="1"/>
  <c r="Z200" i="23" s="1"/>
  <c r="A200" i="23" s="1"/>
  <c r="W169" i="23"/>
  <c r="X169" i="23" s="1"/>
  <c r="Z169" i="23" s="1"/>
  <c r="A169" i="23" s="1"/>
  <c r="W28" i="23"/>
  <c r="X28" i="23" s="1"/>
  <c r="Z28" i="23" s="1"/>
  <c r="A28" i="23" s="1"/>
  <c r="W219" i="23"/>
  <c r="X219" i="23" s="1"/>
  <c r="Z219" i="23" s="1"/>
  <c r="A219" i="23" s="1"/>
  <c r="W229" i="23"/>
  <c r="X229" i="23" s="1"/>
  <c r="Z229" i="23" s="1"/>
  <c r="A229" i="23" s="1"/>
  <c r="W133" i="23"/>
  <c r="X133" i="23" s="1"/>
  <c r="Z133" i="23" s="1"/>
  <c r="A133" i="23" s="1"/>
  <c r="W237" i="23"/>
  <c r="X237" i="23" s="1"/>
  <c r="Z237" i="23" s="1"/>
  <c r="A237" i="23" s="1"/>
  <c r="W74" i="23"/>
  <c r="X74" i="23" s="1"/>
  <c r="Z74" i="23" s="1"/>
  <c r="A74" i="23" s="1"/>
  <c r="W20" i="23"/>
  <c r="X20" i="23" s="1"/>
  <c r="Z20" i="23" s="1"/>
  <c r="A20" i="23" s="1"/>
  <c r="W197" i="23"/>
  <c r="X197" i="23" s="1"/>
  <c r="Z197" i="23" s="1"/>
  <c r="A197" i="23" s="1"/>
  <c r="W47" i="23"/>
  <c r="X47" i="23" s="1"/>
  <c r="Z47" i="23" s="1"/>
  <c r="A47" i="23" s="1"/>
  <c r="W111" i="23"/>
  <c r="X111" i="23" s="1"/>
  <c r="Z111" i="23" s="1"/>
  <c r="A111" i="23" s="1"/>
  <c r="W96" i="23"/>
  <c r="X96" i="23" s="1"/>
  <c r="Z96" i="23" s="1"/>
  <c r="A96" i="23" s="1"/>
  <c r="W83" i="23"/>
  <c r="X83" i="23" s="1"/>
  <c r="Z83" i="23" s="1"/>
  <c r="A83" i="23" s="1"/>
  <c r="W98" i="23"/>
  <c r="X98" i="23" s="1"/>
  <c r="Z98" i="23" s="1"/>
  <c r="A98" i="23" s="1"/>
  <c r="W60" i="23"/>
  <c r="X60" i="23" s="1"/>
  <c r="Z60" i="23" s="1"/>
  <c r="A60" i="23" s="1"/>
  <c r="W226" i="23"/>
  <c r="X226" i="23" s="1"/>
  <c r="Z226" i="23" s="1"/>
  <c r="A226" i="23" s="1"/>
  <c r="W210" i="23"/>
  <c r="X210" i="23" s="1"/>
  <c r="Z210" i="23" s="1"/>
  <c r="A210" i="23" s="1"/>
  <c r="W91" i="23"/>
  <c r="X91" i="23" s="1"/>
  <c r="Z91" i="23" s="1"/>
  <c r="A91" i="23" s="1"/>
  <c r="W204" i="23"/>
  <c r="X204" i="23" s="1"/>
  <c r="Z204" i="23" s="1"/>
  <c r="A204" i="23" s="1"/>
  <c r="W162" i="23"/>
  <c r="X162" i="23" s="1"/>
  <c r="Z162" i="23" s="1"/>
  <c r="A162" i="23" s="1"/>
  <c r="W73" i="23"/>
  <c r="X73" i="23" s="1"/>
  <c r="Z73" i="23" s="1"/>
  <c r="A73" i="23" s="1"/>
  <c r="W236" i="23"/>
  <c r="X236" i="23" s="1"/>
  <c r="Z236" i="23" s="1"/>
  <c r="A236" i="23" s="1"/>
  <c r="W75" i="23"/>
  <c r="X75" i="23" s="1"/>
  <c r="Z75" i="23" s="1"/>
  <c r="A75" i="23" s="1"/>
  <c r="W235" i="23"/>
  <c r="X235" i="23" s="1"/>
  <c r="Z235" i="23" s="1"/>
  <c r="A235" i="23" s="1"/>
  <c r="W18" i="23"/>
  <c r="X18" i="23" s="1"/>
  <c r="Z18" i="23" s="1"/>
  <c r="A18" i="23" s="1"/>
  <c r="W189" i="23"/>
  <c r="X189" i="23" s="1"/>
  <c r="Z189" i="23" s="1"/>
  <c r="A189" i="23" s="1"/>
  <c r="W67" i="23"/>
  <c r="X67" i="23" s="1"/>
  <c r="Z67" i="23" s="1"/>
  <c r="A67" i="23" s="1"/>
  <c r="W186" i="23"/>
  <c r="X186" i="23" s="1"/>
  <c r="Z186" i="23" s="1"/>
  <c r="A186" i="23" s="1"/>
  <c r="W126" i="23"/>
  <c r="X126" i="23" s="1"/>
  <c r="Z126" i="23" s="1"/>
  <c r="A126" i="23" s="1"/>
  <c r="W121" i="23"/>
  <c r="X121" i="23" s="1"/>
  <c r="Z121" i="23" s="1"/>
  <c r="A121" i="23" s="1"/>
  <c r="W2" i="23"/>
  <c r="X2" i="23" s="1"/>
  <c r="Z2" i="23" s="1"/>
  <c r="A2" i="23" s="1"/>
  <c r="W57" i="23"/>
  <c r="X57" i="23" s="1"/>
  <c r="Z57" i="23" s="1"/>
  <c r="A57" i="23" s="1"/>
  <c r="W72" i="23"/>
  <c r="X72" i="23" s="1"/>
  <c r="Z72" i="23" s="1"/>
  <c r="A72" i="23" s="1"/>
  <c r="W168" i="23"/>
  <c r="X168" i="23" s="1"/>
  <c r="Z168" i="23" s="1"/>
  <c r="A168" i="23" s="1"/>
  <c r="W177" i="23"/>
  <c r="X177" i="23" s="1"/>
  <c r="Z177" i="23" s="1"/>
  <c r="A177" i="23" s="1"/>
  <c r="W144" i="23"/>
  <c r="X144" i="23" s="1"/>
  <c r="Z144" i="23" s="1"/>
  <c r="A144" i="23" s="1"/>
  <c r="W174" i="23"/>
  <c r="X174" i="23" s="1"/>
  <c r="Z174" i="23" s="1"/>
  <c r="A174" i="23" s="1"/>
  <c r="W151" i="23"/>
  <c r="X151" i="23" s="1"/>
  <c r="Z151" i="23" s="1"/>
  <c r="A151" i="23" s="1"/>
  <c r="W201" i="23"/>
  <c r="X201" i="23" s="1"/>
  <c r="Z201" i="23" s="1"/>
  <c r="A201" i="23" s="1"/>
  <c r="W172" i="23"/>
  <c r="X172" i="23" s="1"/>
  <c r="Z172" i="23" s="1"/>
  <c r="A172" i="23" s="1"/>
  <c r="W216" i="23"/>
  <c r="X216" i="23" s="1"/>
  <c r="Z216" i="23" s="1"/>
  <c r="A216" i="23" s="1"/>
  <c r="W6" i="23"/>
  <c r="X6" i="23" s="1"/>
  <c r="Z6" i="23" s="1"/>
  <c r="A6" i="23" s="1"/>
  <c r="W220" i="23"/>
  <c r="X220" i="23" s="1"/>
  <c r="Z220" i="23" s="1"/>
  <c r="A220" i="23" s="1"/>
  <c r="W145" i="23"/>
  <c r="X145" i="23" s="1"/>
  <c r="W69" i="23"/>
  <c r="X69" i="23" s="1"/>
  <c r="Z69" i="23" s="1"/>
  <c r="A69" i="23" s="1"/>
  <c r="W135" i="23"/>
  <c r="X135" i="23" s="1"/>
  <c r="Z135" i="23" s="1"/>
  <c r="A135" i="23" s="1"/>
  <c r="W188" i="23"/>
  <c r="X188" i="23" s="1"/>
  <c r="Z188" i="23" s="1"/>
  <c r="A188" i="23" s="1"/>
  <c r="W118" i="23"/>
  <c r="X118" i="23" s="1"/>
  <c r="Z118" i="23" s="1"/>
  <c r="A118" i="23" s="1"/>
  <c r="W11" i="23"/>
  <c r="X11" i="23" s="1"/>
  <c r="Z11" i="23" s="1"/>
  <c r="A11" i="23" s="1"/>
  <c r="W117" i="23"/>
  <c r="X117" i="23" s="1"/>
  <c r="Z117" i="23" s="1"/>
  <c r="A117" i="23" s="1"/>
  <c r="W223" i="23"/>
  <c r="X223" i="23" s="1"/>
  <c r="Z223" i="23" s="1"/>
  <c r="A223" i="23" s="1"/>
  <c r="W7" i="23"/>
  <c r="X7" i="23" s="1"/>
  <c r="Z7" i="23" s="1"/>
  <c r="A7" i="23" s="1"/>
  <c r="W149" i="23"/>
  <c r="X149" i="23" s="1"/>
  <c r="Z149" i="23" s="1"/>
  <c r="A149" i="23" s="1"/>
  <c r="W52" i="23"/>
  <c r="X52" i="23" s="1"/>
  <c r="Z52" i="23" s="1"/>
  <c r="A52" i="23" s="1"/>
  <c r="W193" i="23"/>
  <c r="X193" i="23" s="1"/>
  <c r="W5" i="23"/>
  <c r="X5" i="23" s="1"/>
  <c r="Z5" i="23" s="1"/>
  <c r="A5" i="23" s="1"/>
  <c r="W227" i="23"/>
  <c r="X227" i="23" s="1"/>
  <c r="Z227" i="23" s="1"/>
  <c r="A227" i="23" s="1"/>
  <c r="W178" i="23"/>
  <c r="X178" i="23" s="1"/>
  <c r="Z178" i="23" s="1"/>
  <c r="A178" i="23" s="1"/>
  <c r="W51" i="23"/>
  <c r="X51" i="23" s="1"/>
  <c r="Z51" i="23" s="1"/>
  <c r="A51" i="23" s="1"/>
  <c r="W175" i="23"/>
  <c r="X175" i="23" s="1"/>
  <c r="Z175" i="23" s="1"/>
  <c r="A175" i="23" s="1"/>
  <c r="W150" i="23"/>
  <c r="X150" i="23" s="1"/>
  <c r="Z150" i="23" s="1"/>
  <c r="A150" i="23" s="1"/>
  <c r="W211" i="23"/>
  <c r="X211" i="23" s="1"/>
  <c r="W62" i="23"/>
  <c r="X62" i="23" s="1"/>
  <c r="Z62" i="23" s="1"/>
  <c r="A62" i="23" s="1"/>
  <c r="W66" i="23"/>
  <c r="X66" i="23" s="1"/>
  <c r="Z66" i="23" s="1"/>
  <c r="A66" i="23" s="1"/>
  <c r="W88" i="23"/>
  <c r="X88" i="23" s="1"/>
  <c r="Z88" i="23" s="1"/>
  <c r="A88" i="23" s="1"/>
  <c r="W34" i="23"/>
  <c r="X34" i="23" s="1"/>
  <c r="Z34" i="23" s="1"/>
  <c r="A34" i="23" s="1"/>
  <c r="W10" i="23"/>
  <c r="X10" i="23" s="1"/>
  <c r="Z10" i="23" s="1"/>
  <c r="A10" i="23" s="1"/>
  <c r="W125" i="23"/>
  <c r="X125" i="23" s="1"/>
  <c r="Z125" i="23" s="1"/>
  <c r="A125" i="23" s="1"/>
  <c r="W152" i="23"/>
  <c r="X152" i="23" s="1"/>
  <c r="Z152" i="23" s="1"/>
  <c r="A152" i="23" s="1"/>
  <c r="W202" i="23"/>
  <c r="X202" i="23" s="1"/>
  <c r="Z202" i="23" s="1"/>
  <c r="A202" i="23" s="1"/>
  <c r="W107" i="23"/>
  <c r="X107" i="23" s="1"/>
  <c r="Z107" i="23" s="1"/>
  <c r="A107" i="23" s="1"/>
  <c r="W37" i="23"/>
  <c r="X37" i="23" s="1"/>
  <c r="Z37" i="23" s="1"/>
  <c r="A37" i="23" s="1"/>
  <c r="W143" i="23"/>
  <c r="X143" i="23" s="1"/>
  <c r="Z143" i="23" s="1"/>
  <c r="A143" i="23" s="1"/>
  <c r="W194" i="23"/>
  <c r="X194" i="23" s="1"/>
  <c r="Z194" i="23" s="1"/>
  <c r="A194" i="23" s="1"/>
  <c r="W142" i="23"/>
  <c r="X142" i="23" s="1"/>
  <c r="Z142" i="23" s="1"/>
  <c r="A142" i="23" s="1"/>
  <c r="W105" i="23"/>
  <c r="X105" i="23" s="1"/>
  <c r="Z105" i="23" s="1"/>
  <c r="A105" i="23" s="1"/>
  <c r="W54" i="23"/>
  <c r="X54" i="23" s="1"/>
  <c r="Z54" i="23" s="1"/>
  <c r="A54" i="23" s="1"/>
  <c r="W110" i="23"/>
  <c r="X110" i="23" s="1"/>
  <c r="Z110" i="23" s="1"/>
  <c r="A110" i="23" s="1"/>
  <c r="W44" i="23"/>
  <c r="X44" i="23" s="1"/>
  <c r="Z44" i="23" s="1"/>
  <c r="A44" i="23" s="1"/>
  <c r="W81" i="23"/>
  <c r="X81" i="23" s="1"/>
  <c r="Z81" i="23" s="1"/>
  <c r="A81" i="23" s="1"/>
  <c r="W68" i="23"/>
  <c r="X68" i="23" s="1"/>
  <c r="Z68" i="23" s="1"/>
  <c r="A68" i="23" s="1"/>
  <c r="W25" i="23"/>
  <c r="X25" i="23" s="1"/>
  <c r="Z25" i="23" s="1"/>
  <c r="A25" i="23" s="1"/>
  <c r="W132" i="23"/>
  <c r="X132" i="23" s="1"/>
  <c r="Z132" i="23" s="1"/>
  <c r="A132" i="23" s="1"/>
  <c r="W31" i="23"/>
  <c r="X31" i="23" s="1"/>
  <c r="Z31" i="23" s="1"/>
  <c r="A31" i="23" s="1"/>
  <c r="W13" i="23"/>
  <c r="X13" i="23" s="1"/>
  <c r="Z13" i="23" s="1"/>
  <c r="A13" i="23" s="1"/>
  <c r="W78" i="23"/>
  <c r="X78" i="23" s="1"/>
  <c r="Z78" i="23" s="1"/>
  <c r="A78" i="23" s="1"/>
  <c r="W55" i="23"/>
  <c r="X55" i="23" s="1"/>
  <c r="Z55" i="23" s="1"/>
  <c r="A55" i="23" s="1"/>
  <c r="W77" i="23"/>
  <c r="X77" i="23" s="1"/>
  <c r="Z77" i="23" s="1"/>
  <c r="A77" i="23" s="1"/>
  <c r="W196" i="23"/>
  <c r="X196" i="23" s="1"/>
  <c r="Z196" i="23" s="1"/>
  <c r="A196" i="23" s="1"/>
  <c r="W82" i="23"/>
  <c r="X82" i="23" s="1"/>
  <c r="Z82" i="23" s="1"/>
  <c r="A82" i="23" s="1"/>
  <c r="W138" i="23"/>
  <c r="X138" i="23" s="1"/>
  <c r="Z138" i="23" s="1"/>
  <c r="A138" i="23" s="1"/>
  <c r="W170" i="23"/>
  <c r="X170" i="23" s="1"/>
  <c r="Z170" i="23" s="1"/>
  <c r="A170" i="23" s="1"/>
  <c r="W30" i="23"/>
  <c r="X30" i="23" s="1"/>
  <c r="Z30" i="23" s="1"/>
  <c r="A30" i="23" s="1"/>
  <c r="W46" i="23"/>
  <c r="X46" i="23" s="1"/>
  <c r="Z46" i="23" s="1"/>
  <c r="A46" i="23" s="1"/>
  <c r="W165" i="23"/>
  <c r="X165" i="23" s="1"/>
  <c r="Z165" i="23" s="1"/>
  <c r="A165" i="23" s="1"/>
  <c r="W16" i="23"/>
  <c r="X16" i="23" s="1"/>
  <c r="Z16" i="23" s="1"/>
  <c r="A16" i="23" s="1"/>
  <c r="W38" i="23"/>
  <c r="X38" i="23" s="1"/>
  <c r="Z38" i="23" s="1"/>
  <c r="A38" i="23" s="1"/>
  <c r="W80" i="23"/>
  <c r="X80" i="23" s="1"/>
  <c r="Z80" i="23" s="1"/>
  <c r="A80" i="23" s="1"/>
  <c r="W155" i="23"/>
  <c r="X155" i="23" s="1"/>
  <c r="Z155" i="23" s="1"/>
  <c r="A155" i="23" s="1"/>
  <c r="W12" i="23"/>
  <c r="X12" i="23" s="1"/>
  <c r="Z12" i="23" s="1"/>
  <c r="A12" i="23" s="1"/>
  <c r="W206" i="23"/>
  <c r="X206" i="23" s="1"/>
  <c r="Z206" i="23" s="1"/>
  <c r="A206" i="23" s="1"/>
  <c r="W106" i="23"/>
  <c r="X106" i="23" s="1"/>
  <c r="Z106" i="23" s="1"/>
  <c r="A106" i="23" s="1"/>
  <c r="W65" i="23"/>
  <c r="X65" i="23" s="1"/>
  <c r="Z65" i="23" s="1"/>
  <c r="A65" i="23" s="1"/>
  <c r="W122" i="23"/>
  <c r="X122" i="23" s="1"/>
  <c r="W22" i="23"/>
  <c r="X22" i="23" s="1"/>
  <c r="W192" i="23"/>
  <c r="X192" i="23" s="1"/>
  <c r="Z192" i="23" s="1"/>
  <c r="A192" i="23" s="1"/>
  <c r="W120" i="23"/>
  <c r="X120" i="23" s="1"/>
  <c r="Z120" i="23" s="1"/>
  <c r="A120" i="23" s="1"/>
  <c r="W187" i="23"/>
  <c r="X187" i="23" s="1"/>
  <c r="Z187" i="23" s="1"/>
  <c r="A187" i="23" s="1"/>
  <c r="W19" i="23"/>
  <c r="X19" i="23" s="1"/>
  <c r="Z19" i="23" s="1"/>
  <c r="A19" i="23" s="1"/>
  <c r="W166" i="23"/>
  <c r="X166" i="23" s="1"/>
  <c r="Z166" i="23" s="1"/>
  <c r="A166" i="23" s="1"/>
  <c r="W41" i="23"/>
  <c r="X41" i="23" s="1"/>
  <c r="Z41" i="23" s="1"/>
  <c r="A41" i="23" s="1"/>
  <c r="W70" i="23"/>
  <c r="X70" i="23" s="1"/>
  <c r="Z70" i="23" s="1"/>
  <c r="A70" i="23" s="1"/>
  <c r="W3" i="23"/>
  <c r="X3" i="23" s="1"/>
  <c r="Z3" i="23" s="1"/>
  <c r="A3" i="23" s="1"/>
  <c r="W104" i="23"/>
  <c r="X104" i="23" s="1"/>
  <c r="Z104" i="23" s="1"/>
  <c r="A104" i="23" s="1"/>
  <c r="W182" i="23"/>
  <c r="X182" i="23" s="1"/>
  <c r="Z182" i="23" s="1"/>
  <c r="A182" i="23" s="1"/>
  <c r="W90" i="23"/>
  <c r="X90" i="23" s="1"/>
  <c r="Z90" i="23" s="1"/>
  <c r="A90" i="23" s="1"/>
  <c r="W114" i="23"/>
  <c r="X114" i="23" s="1"/>
  <c r="Z114" i="23" s="1"/>
  <c r="A114" i="23" s="1"/>
  <c r="W134" i="23"/>
  <c r="X134" i="23" s="1"/>
  <c r="Z134" i="23" s="1"/>
  <c r="A134" i="23" s="1"/>
  <c r="W161" i="23"/>
  <c r="X161" i="23" s="1"/>
  <c r="Z161" i="23" s="1"/>
  <c r="A161" i="23" s="1"/>
  <c r="W40" i="23"/>
  <c r="X40" i="23" s="1"/>
  <c r="Z40" i="23" s="1"/>
  <c r="A40" i="23" s="1"/>
  <c r="W224" i="23"/>
  <c r="X224" i="23" s="1"/>
  <c r="Z224" i="23" s="1"/>
  <c r="A224" i="23" s="1"/>
  <c r="W63" i="23"/>
  <c r="X63" i="23" s="1"/>
  <c r="Z63" i="23" s="1"/>
  <c r="A63" i="23" s="1"/>
  <c r="W119" i="23"/>
  <c r="X119" i="23" s="1"/>
  <c r="Z119" i="23" s="1"/>
  <c r="A119" i="23" s="1"/>
  <c r="W116" i="23"/>
  <c r="X116" i="23" s="1"/>
  <c r="W185" i="23"/>
  <c r="X185" i="23" s="1"/>
  <c r="W232" i="23"/>
  <c r="X232" i="23" s="1"/>
  <c r="Z232" i="23" s="1"/>
  <c r="A232" i="23" s="1"/>
  <c r="W212" i="23"/>
  <c r="X212" i="23" s="1"/>
  <c r="Z212" i="23" s="1"/>
  <c r="A212" i="23" s="1"/>
  <c r="W87" i="23"/>
  <c r="X87" i="23" s="1"/>
  <c r="Z87" i="23" s="1"/>
  <c r="A87" i="23" s="1"/>
  <c r="W221" i="23"/>
  <c r="X221" i="23" s="1"/>
  <c r="Z221" i="23" s="1"/>
  <c r="A221" i="23" s="1"/>
  <c r="W50" i="23"/>
  <c r="X50" i="23" s="1"/>
  <c r="Z50" i="23" s="1"/>
  <c r="A50" i="23" s="1"/>
  <c r="W32" i="23"/>
  <c r="X32" i="23" s="1"/>
  <c r="Z32" i="23" s="1"/>
  <c r="A32" i="23" s="1"/>
  <c r="W137" i="23"/>
  <c r="X137" i="23" s="1"/>
  <c r="Z137" i="23" s="1"/>
  <c r="A137" i="23" s="1"/>
  <c r="W39" i="23"/>
  <c r="X39" i="23" s="1"/>
  <c r="Z39" i="23" s="1"/>
  <c r="A39" i="23" s="1"/>
  <c r="W27" i="23"/>
  <c r="X27" i="23" s="1"/>
  <c r="Z27" i="23" s="1"/>
  <c r="A27" i="23" s="1"/>
  <c r="W49" i="23"/>
  <c r="X49" i="23" s="1"/>
  <c r="Z49" i="23" s="1"/>
  <c r="A49" i="23" s="1"/>
  <c r="W4" i="23"/>
  <c r="X4" i="23" s="1"/>
  <c r="Z4" i="23" s="1"/>
  <c r="A4" i="23" s="1"/>
  <c r="W209" i="23"/>
  <c r="X209" i="23" s="1"/>
  <c r="Z209" i="23" s="1"/>
  <c r="A209" i="23" s="1"/>
  <c r="W176" i="23"/>
  <c r="X176" i="23" s="1"/>
  <c r="Z176" i="23" s="1"/>
  <c r="A176" i="23" s="1"/>
  <c r="W207" i="23"/>
  <c r="X207" i="23" s="1"/>
  <c r="Z207" i="23" s="1"/>
  <c r="A207" i="23" s="1"/>
  <c r="W160" i="23"/>
  <c r="X160" i="23" s="1"/>
  <c r="Z160" i="23" s="1"/>
  <c r="A160" i="23" s="1"/>
  <c r="W195" i="23"/>
  <c r="X195" i="23" s="1"/>
  <c r="Z195" i="23" s="1"/>
  <c r="A195" i="23" s="1"/>
  <c r="W76" i="23"/>
  <c r="X76" i="23" s="1"/>
  <c r="Z76" i="23" s="1"/>
  <c r="A76" i="23" s="1"/>
  <c r="M97" i="24" l="1"/>
  <c r="H105" i="24"/>
  <c r="F106" i="24" s="1"/>
  <c r="G106" i="24" s="1" a="1"/>
  <c r="G106" i="24" s="1"/>
  <c r="M96" i="24"/>
  <c r="Z97" i="24"/>
  <c r="E85" i="24" s="1"/>
  <c r="K96" i="24"/>
  <c r="H101" i="24"/>
  <c r="F102" i="24" s="1"/>
  <c r="D103" i="24" s="1"/>
  <c r="I87" i="24"/>
  <c r="AA56" i="24"/>
  <c r="Z56" i="24"/>
  <c r="Z55" i="24"/>
  <c r="AA55" i="24"/>
  <c r="M57" i="24"/>
  <c r="AB53" i="24"/>
  <c r="M66" i="24"/>
  <c r="M73" i="24" s="1"/>
  <c r="L70" i="24"/>
  <c r="L57" i="24"/>
  <c r="K70" i="24"/>
  <c r="K57" i="24"/>
  <c r="L69" i="24"/>
  <c r="L56" i="24"/>
  <c r="AA57" i="24"/>
  <c r="L68" i="24"/>
  <c r="L55" i="24"/>
  <c r="M70" i="24"/>
  <c r="AB57" i="24"/>
  <c r="M68" i="24"/>
  <c r="AB55" i="24"/>
  <c r="M54" i="24"/>
  <c r="M55" i="24"/>
  <c r="AB54" i="24"/>
  <c r="M67" i="24"/>
  <c r="K68" i="24"/>
  <c r="K55" i="24"/>
  <c r="K69" i="24"/>
  <c r="K56" i="24"/>
  <c r="D99" i="24"/>
  <c r="AA54" i="24"/>
  <c r="L66" i="24"/>
  <c r="L73" i="24" s="1"/>
  <c r="L53" i="24"/>
  <c r="L67" i="24"/>
  <c r="L54" i="24"/>
  <c r="K67" i="24"/>
  <c r="K74" i="24" s="1"/>
  <c r="K54" i="24"/>
  <c r="M56" i="24"/>
  <c r="Z57" i="24"/>
  <c r="AB56" i="24"/>
  <c r="M69" i="24"/>
  <c r="Z131" i="23"/>
  <c r="A131" i="23" s="1"/>
  <c r="Y2" i="23"/>
  <c r="Y3" i="23" s="1"/>
  <c r="Y4" i="23" s="1"/>
  <c r="Y5" i="23" s="1"/>
  <c r="Y6" i="23" s="1"/>
  <c r="Y7" i="23" s="1"/>
  <c r="Y8" i="23" s="1"/>
  <c r="Y9" i="23" s="1"/>
  <c r="Y10" i="23" s="1"/>
  <c r="Y11" i="23" s="1"/>
  <c r="Y12" i="23" s="1"/>
  <c r="Y13" i="23" s="1"/>
  <c r="Y14" i="23" s="1"/>
  <c r="Y15" i="23" s="1"/>
  <c r="Y16" i="23" s="1"/>
  <c r="Y17" i="23" s="1"/>
  <c r="Y18" i="23" s="1"/>
  <c r="Y19" i="23" s="1"/>
  <c r="Y20" i="23" s="1"/>
  <c r="Y21" i="23" s="1"/>
  <c r="Y22" i="23" s="1"/>
  <c r="Y23" i="23" s="1"/>
  <c r="Y24" i="23" s="1"/>
  <c r="Y25" i="23" s="1"/>
  <c r="Y26" i="23" s="1"/>
  <c r="Y27" i="23" s="1"/>
  <c r="Y28" i="23" s="1"/>
  <c r="Y29" i="23" s="1"/>
  <c r="Y30" i="23" s="1"/>
  <c r="Y31" i="23" s="1"/>
  <c r="Y32" i="23" s="1"/>
  <c r="Y33" i="23" s="1"/>
  <c r="Y34" i="23" s="1"/>
  <c r="Y35" i="23" s="1"/>
  <c r="Y36" i="23" s="1"/>
  <c r="Y37" i="23" s="1"/>
  <c r="Y38" i="23" s="1"/>
  <c r="Y39" i="23" s="1"/>
  <c r="Y40" i="23" s="1"/>
  <c r="Y41" i="23" s="1"/>
  <c r="Y42" i="23" s="1"/>
  <c r="Y43" i="23" s="1"/>
  <c r="Y44" i="23" s="1"/>
  <c r="Y45" i="23" s="1"/>
  <c r="Y46" i="23" s="1"/>
  <c r="Y47" i="23" s="1"/>
  <c r="Y48" i="23" s="1"/>
  <c r="Y49" i="23" s="1"/>
  <c r="Y50" i="23" s="1"/>
  <c r="Y51" i="23" s="1"/>
  <c r="Y52" i="23" s="1"/>
  <c r="Y53" i="23" s="1"/>
  <c r="Y54" i="23" s="1"/>
  <c r="Y55" i="23" s="1"/>
  <c r="Y56" i="23" s="1"/>
  <c r="Y57" i="23" s="1"/>
  <c r="Y58" i="23" s="1"/>
  <c r="Y59" i="23" s="1"/>
  <c r="Y60" i="23" s="1"/>
  <c r="Y61" i="23" s="1"/>
  <c r="Y62" i="23" s="1"/>
  <c r="Y63" i="23" s="1"/>
  <c r="Y64" i="23" s="1"/>
  <c r="Y65" i="23" s="1"/>
  <c r="Y66" i="23" s="1"/>
  <c r="Y67" i="23" s="1"/>
  <c r="Y68" i="23" s="1"/>
  <c r="Y69" i="23" s="1"/>
  <c r="Y70" i="23" s="1"/>
  <c r="Y71" i="23" s="1"/>
  <c r="Y72" i="23" s="1"/>
  <c r="Y73" i="23" s="1"/>
  <c r="Y74" i="23" s="1"/>
  <c r="Y75" i="23" s="1"/>
  <c r="Y76" i="23" s="1"/>
  <c r="Y77" i="23" s="1"/>
  <c r="Y78" i="23" s="1"/>
  <c r="Y79" i="23" s="1"/>
  <c r="Y80" i="23" s="1"/>
  <c r="Y81" i="23" s="1"/>
  <c r="Y82" i="23" s="1"/>
  <c r="Y83" i="23" s="1"/>
  <c r="Y84" i="23" s="1"/>
  <c r="Y85" i="23" s="1"/>
  <c r="Y86" i="23" s="1"/>
  <c r="Y87" i="23" s="1"/>
  <c r="Y88" i="23" s="1"/>
  <c r="Y89" i="23" s="1"/>
  <c r="Y90" i="23" s="1"/>
  <c r="Y91" i="23" s="1"/>
  <c r="Y92" i="23" s="1"/>
  <c r="Y93" i="23" s="1"/>
  <c r="Y94" i="23" s="1"/>
  <c r="Y95" i="23" s="1"/>
  <c r="Y96" i="23" s="1"/>
  <c r="Y97" i="23" s="1"/>
  <c r="Y98" i="23" s="1"/>
  <c r="Y99" i="23" s="1"/>
  <c r="Y100" i="23" s="1"/>
  <c r="Y101" i="23" s="1"/>
  <c r="Y102" i="23" s="1"/>
  <c r="Y103" i="23" s="1"/>
  <c r="Y104" i="23" s="1"/>
  <c r="Y105" i="23" s="1"/>
  <c r="Y106" i="23" s="1"/>
  <c r="Y107" i="23" s="1"/>
  <c r="Y108" i="23" s="1"/>
  <c r="Y109" i="23" s="1"/>
  <c r="Y110" i="23" s="1"/>
  <c r="Y111" i="23" s="1"/>
  <c r="Y112" i="23" s="1"/>
  <c r="Y113" i="23" s="1"/>
  <c r="Y114" i="23" s="1"/>
  <c r="Y115" i="23" s="1"/>
  <c r="Y116" i="23" s="1"/>
  <c r="Y117" i="23" s="1"/>
  <c r="Y118" i="23" s="1"/>
  <c r="Y119" i="23" s="1"/>
  <c r="Y120" i="23" s="1"/>
  <c r="Y121" i="23" s="1"/>
  <c r="Y122" i="23" s="1"/>
  <c r="Y123" i="23" s="1"/>
  <c r="Y124" i="23" s="1"/>
  <c r="Y125" i="23" s="1"/>
  <c r="Y126" i="23" s="1"/>
  <c r="G102" i="24" l="1" a="1"/>
  <c r="G102" i="24" s="1"/>
  <c r="D107" i="24"/>
  <c r="M76" i="24"/>
  <c r="L74" i="24"/>
  <c r="M74" i="24"/>
  <c r="K76" i="24"/>
  <c r="K75" i="24"/>
  <c r="M77" i="24"/>
  <c r="L75" i="24"/>
  <c r="L76" i="24"/>
  <c r="K77" i="24"/>
  <c r="L77" i="24"/>
  <c r="M75" i="24"/>
  <c r="Z116" i="23"/>
  <c r="A116" i="23" s="1"/>
  <c r="Z9" i="23"/>
  <c r="A9" i="23" s="1"/>
  <c r="Y127" i="23"/>
  <c r="Y128" i="23" s="1"/>
  <c r="Y129" i="23" s="1"/>
  <c r="Y130" i="23" s="1"/>
  <c r="Y131" i="23" s="1"/>
  <c r="Y132" i="23" s="1"/>
  <c r="Y133" i="23" s="1"/>
  <c r="Y134" i="23" s="1"/>
  <c r="Y135" i="23" s="1"/>
  <c r="Y136" i="23" s="1"/>
  <c r="Y137" i="23" s="1"/>
  <c r="Y138" i="23" s="1"/>
  <c r="Y139" i="23" s="1"/>
  <c r="Y140" i="23" s="1"/>
  <c r="Y141" i="23" s="1"/>
  <c r="Y142" i="23" s="1"/>
  <c r="Y143" i="23" s="1"/>
  <c r="Y144" i="23" s="1"/>
  <c r="Y145" i="23" s="1"/>
  <c r="Z122" i="23"/>
  <c r="A122" i="23" s="1"/>
  <c r="Z56" i="23"/>
  <c r="A56" i="23" s="1"/>
  <c r="Z22" i="23"/>
  <c r="A22" i="23" s="1"/>
  <c r="Z8" i="23"/>
  <c r="A8" i="23" s="1"/>
  <c r="Z23" i="23"/>
  <c r="A23" i="23" s="1"/>
  <c r="Z24" i="23"/>
  <c r="A24" i="23" s="1"/>
  <c r="Z140" i="23" l="1"/>
  <c r="A140" i="23" s="1"/>
  <c r="Y146" i="23"/>
  <c r="Z145" i="23"/>
  <c r="A145" i="23" s="1"/>
  <c r="Y147" i="23" l="1"/>
  <c r="Z146" i="23"/>
  <c r="A146" i="23" s="1"/>
  <c r="Y148" i="23" l="1"/>
  <c r="Y149" i="23" s="1"/>
  <c r="Y150" i="23" s="1"/>
  <c r="Y151" i="23" s="1"/>
  <c r="Y152" i="23" s="1"/>
  <c r="Y153" i="23" s="1"/>
  <c r="Y154" i="23" s="1"/>
  <c r="Y155" i="23" s="1"/>
  <c r="Y156" i="23" s="1"/>
  <c r="Y157" i="23" s="1"/>
  <c r="Y158" i="23" s="1"/>
  <c r="Y159" i="23" s="1"/>
  <c r="Y160" i="23" s="1"/>
  <c r="Y161" i="23" s="1"/>
  <c r="Y162" i="23" s="1"/>
  <c r="Y163" i="23" s="1"/>
  <c r="Y164" i="23" s="1"/>
  <c r="Y165" i="23" s="1"/>
  <c r="Y166" i="23" s="1"/>
  <c r="Y167" i="23" s="1"/>
  <c r="Y168" i="23" s="1"/>
  <c r="Y169" i="23" s="1"/>
  <c r="Y170" i="23" s="1"/>
  <c r="Y171" i="23" s="1"/>
  <c r="Z147" i="23"/>
  <c r="A147" i="23" s="1"/>
  <c r="Y172" i="23" l="1"/>
  <c r="Y173" i="23" s="1"/>
  <c r="Y174" i="23" s="1"/>
  <c r="Y175" i="23" s="1"/>
  <c r="Y176" i="23" s="1"/>
  <c r="Y177" i="23" s="1"/>
  <c r="Y178" i="23" s="1"/>
  <c r="Y179" i="23" s="1"/>
  <c r="Y180" i="23" s="1"/>
  <c r="Y181" i="23" s="1"/>
  <c r="Y182" i="23" s="1"/>
  <c r="Y183" i="23" s="1"/>
  <c r="Y184" i="23" s="1"/>
  <c r="Y185" i="23" s="1"/>
  <c r="Z171" i="23"/>
  <c r="A171" i="23" s="1"/>
  <c r="Z193" i="23"/>
  <c r="A193" i="23" s="1"/>
  <c r="Y186" i="23" l="1"/>
  <c r="Y187" i="23" s="1"/>
  <c r="Y188" i="23" s="1"/>
  <c r="Y189" i="23" s="1"/>
  <c r="Y190" i="23" s="1"/>
  <c r="Y191" i="23" s="1"/>
  <c r="Y192" i="23" s="1"/>
  <c r="Y193" i="23" s="1"/>
  <c r="Y194" i="23" s="1"/>
  <c r="Y195" i="23" s="1"/>
  <c r="Y196" i="23" s="1"/>
  <c r="Y197" i="23" s="1"/>
  <c r="Y198" i="23" s="1"/>
  <c r="Y199" i="23" s="1"/>
  <c r="Y200" i="23" s="1"/>
  <c r="Y201" i="23" s="1"/>
  <c r="Y202" i="23" s="1"/>
  <c r="Y203" i="23" s="1"/>
  <c r="Y204" i="23" s="1"/>
  <c r="Y205" i="23" s="1"/>
  <c r="Y206" i="23" s="1"/>
  <c r="Y207" i="23" s="1"/>
  <c r="Y208" i="23" s="1"/>
  <c r="Y209" i="23" s="1"/>
  <c r="Y210" i="23" s="1"/>
  <c r="Y211" i="23" s="1"/>
  <c r="Z185" i="23"/>
  <c r="A185" i="23" s="1"/>
  <c r="Y212" i="23" l="1"/>
  <c r="Y213" i="23" s="1"/>
  <c r="Y214" i="23" s="1"/>
  <c r="Y215" i="23" s="1"/>
  <c r="Y216" i="23" s="1"/>
  <c r="Y217" i="23" s="1"/>
  <c r="Y218" i="23" s="1"/>
  <c r="Y219" i="23" s="1"/>
  <c r="Y220" i="23" s="1"/>
  <c r="Y221" i="23" s="1"/>
  <c r="Y222" i="23" s="1"/>
  <c r="Y223" i="23" s="1"/>
  <c r="Y224" i="23" s="1"/>
  <c r="Y225" i="23" s="1"/>
  <c r="Y226" i="23" s="1"/>
  <c r="Y227" i="23" s="1"/>
  <c r="Y228" i="23" s="1"/>
  <c r="Y229" i="23" s="1"/>
  <c r="Y230" i="23" s="1"/>
  <c r="Y231" i="23" s="1"/>
  <c r="Y232" i="23" s="1"/>
  <c r="Y233" i="23" s="1"/>
  <c r="Y234" i="23" s="1"/>
  <c r="Y235" i="23" s="1"/>
  <c r="Y236" i="23" s="1"/>
  <c r="Y237" i="23" s="1"/>
  <c r="Y238" i="23" s="1"/>
  <c r="H38" i="22" s="1"/>
  <c r="Z211" i="23"/>
  <c r="A211" i="23" s="1"/>
  <c r="F36" i="22"/>
  <c r="E34" i="22"/>
  <c r="F34" i="22"/>
  <c r="G34" i="22"/>
  <c r="H34" i="22"/>
  <c r="G35" i="22"/>
  <c r="F35" i="22"/>
  <c r="H35" i="22"/>
  <c r="E35" i="22"/>
  <c r="B35" i="22"/>
  <c r="B34" i="22"/>
  <c r="B37" i="22" l="1"/>
  <c r="F37" i="22"/>
  <c r="E36" i="22"/>
  <c r="B36" i="22"/>
  <c r="G36" i="22"/>
  <c r="H36" i="22"/>
  <c r="E38" i="22"/>
  <c r="H37" i="22"/>
  <c r="G38" i="22"/>
  <c r="E37" i="22"/>
  <c r="B38" i="22"/>
  <c r="F38" i="22"/>
  <c r="G37" i="22"/>
  <c r="J34" i="22" l="1" a="1"/>
  <c r="J34" i="22" s="1"/>
  <c r="I27" i="24" a="1"/>
  <c r="G27" i="24" s="1"/>
  <c r="F30" i="24" l="1"/>
  <c r="B30" i="24"/>
  <c r="D27" i="24"/>
  <c r="E29" i="24"/>
  <c r="E31" i="24"/>
  <c r="D30" i="24"/>
  <c r="F31" i="24"/>
  <c r="D31" i="24"/>
  <c r="G28" i="24"/>
  <c r="B29" i="24"/>
  <c r="I27" i="24"/>
  <c r="B27" i="24" s="1"/>
  <c r="F27" i="24"/>
  <c r="G30" i="24"/>
  <c r="D28" i="24"/>
  <c r="E27" i="24"/>
  <c r="G29" i="24"/>
  <c r="F28" i="24"/>
  <c r="E28" i="24"/>
  <c r="B31" i="24"/>
  <c r="F29" i="24"/>
  <c r="B28" i="24"/>
  <c r="D29" i="24"/>
  <c r="E30" i="24"/>
  <c r="M3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loppelt</author>
    <author/>
  </authors>
  <commentList>
    <comment ref="N17" authorId="0" shapeId="0" xr:uid="{4A1CF2C8-0832-4286-9CAA-5E8ABAFFB7B5}">
      <text>
        <r>
          <rPr>
            <sz val="9"/>
            <color indexed="81"/>
            <rFont val="Segoe UI"/>
            <family val="2"/>
          </rPr>
          <t>Umrechnung der gemessenen Redoxspannung nur für Quecksilber Kalomel-Elektrode hinterelegt</t>
        </r>
        <r>
          <rPr>
            <b/>
            <sz val="9"/>
            <color indexed="81"/>
            <rFont val="Segoe UI"/>
            <family val="2"/>
          </rPr>
          <t xml:space="preserve">
Weitere Umrechnungsdaten unter:
aus: B. Hölting und W. G. Coldewey. Hydrogeologie. Heidelberg: Spektrum Akademischer
Verlag, 2013. ISBN: 978-3-8274-2353-5. DOI: 10.1007/978-3-8274-2354-2.
</t>
        </r>
      </text>
    </comment>
    <comment ref="I22" authorId="1" shapeId="0" xr:uid="{3BAFFE38-C1BA-4FEB-B5A5-3F568297D6B9}">
      <text>
        <r>
          <rPr>
            <sz val="10"/>
            <rFont val="Arial"/>
            <family val="2"/>
            <charset val="1"/>
          </rPr>
          <t>Bitte Wert eingeben</t>
        </r>
      </text>
    </comment>
    <comment ref="J22" authorId="1" shapeId="0" xr:uid="{E5E39AEF-B995-486B-9DDD-866500D2F35E}">
      <text>
        <r>
          <rPr>
            <sz val="10"/>
            <rFont val="Arial"/>
            <family val="2"/>
            <charset val="1"/>
          </rPr>
          <t>Bitte Wert eingeben</t>
        </r>
      </text>
    </comment>
    <comment ref="K22" authorId="1" shapeId="0" xr:uid="{838B552F-5648-46FA-9E87-B3821105E74D}">
      <text>
        <r>
          <rPr>
            <sz val="10"/>
            <rFont val="Arial"/>
            <family val="2"/>
            <charset val="1"/>
          </rPr>
          <t>Bitte Wert eingeben</t>
        </r>
      </text>
    </comment>
    <comment ref="L22" authorId="1" shapeId="0" xr:uid="{862263A0-C812-43C3-B0AE-0A9382949CEF}">
      <text>
        <r>
          <rPr>
            <sz val="10"/>
            <rFont val="Arial"/>
            <family val="2"/>
            <charset val="1"/>
          </rPr>
          <t>Bitte Wert eingeben</t>
        </r>
      </text>
    </comment>
    <comment ref="D24" authorId="1" shapeId="0" xr:uid="{81B7CA68-EB86-4D62-A179-07F2DF19AFCE}">
      <text>
        <r>
          <rPr>
            <b/>
            <sz val="10"/>
            <color indexed="81"/>
            <rFont val="Arial"/>
            <family val="2"/>
          </rPr>
          <t xml:space="preserve">Beispielwerte reale Anlagen:
</t>
        </r>
        <r>
          <rPr>
            <sz val="10"/>
            <color indexed="81"/>
            <rFont val="Arial"/>
            <family val="2"/>
          </rPr>
          <t>Mittelwert: 19 °C</t>
        </r>
        <r>
          <rPr>
            <b/>
            <sz val="10"/>
            <color indexed="81"/>
            <rFont val="Arial"/>
            <family val="2"/>
          </rPr>
          <t xml:space="preserve">
</t>
        </r>
        <r>
          <rPr>
            <sz val="10"/>
            <color indexed="81"/>
            <rFont val="Arial"/>
            <family val="2"/>
          </rPr>
          <t xml:space="preserve">Minimum: 4 °C
Maximum: 35 °C
</t>
        </r>
      </text>
    </comment>
    <comment ref="E24" authorId="1" shapeId="0" xr:uid="{489FA9CA-5A62-4253-8D80-76903EC4EB79}">
      <text>
        <r>
          <rPr>
            <b/>
            <sz val="10"/>
            <color indexed="81"/>
            <rFont val="Arial"/>
            <family val="2"/>
          </rPr>
          <t>Beispielwerte reale Anlagen:</t>
        </r>
        <r>
          <rPr>
            <sz val="10"/>
            <rFont val="Arial"/>
            <family val="2"/>
            <charset val="1"/>
          </rPr>
          <t xml:space="preserve">
Mittelwert: 165 m³/h
Minimum: 3 m³/h
Maximum: 520 m³/h
</t>
        </r>
      </text>
    </comment>
    <comment ref="F24" authorId="0" shapeId="0" xr:uid="{48712A0D-FA05-4CA7-9007-CDAF834D2C7F}">
      <text>
        <r>
          <rPr>
            <b/>
            <sz val="9"/>
            <color indexed="81"/>
            <rFont val="Segoe UI"/>
            <family val="2"/>
          </rPr>
          <t xml:space="preserve">Hinweis:
</t>
        </r>
        <r>
          <rPr>
            <sz val="9"/>
            <color indexed="81"/>
            <rFont val="Segoe UI"/>
            <family val="2"/>
          </rPr>
          <t xml:space="preserve">Umgebungsdruck:
1,01325 bar
</t>
        </r>
      </text>
    </comment>
    <comment ref="H24" authorId="1" shapeId="0" xr:uid="{49B9AF6B-5A2E-48EC-A538-8A3992E76355}">
      <text>
        <r>
          <rPr>
            <sz val="10"/>
            <rFont val="Arial"/>
            <family val="2"/>
            <charset val="1"/>
          </rPr>
          <t>Bitte Wert eingeben</t>
        </r>
      </text>
    </comment>
    <comment ref="I24" authorId="1" shapeId="0" xr:uid="{CBD48C8A-31CC-48C3-82D6-83A6EE00582B}">
      <text>
        <r>
          <rPr>
            <sz val="10"/>
            <rFont val="Arial"/>
            <family val="2"/>
            <charset val="1"/>
          </rPr>
          <t>Bitte Wert eingeben</t>
        </r>
      </text>
    </comment>
    <comment ref="J24" authorId="1" shapeId="0" xr:uid="{E49EB088-484A-4F27-B64D-D85D9A579B21}">
      <text>
        <r>
          <rPr>
            <sz val="10"/>
            <rFont val="Arial"/>
            <family val="2"/>
            <charset val="1"/>
          </rPr>
          <t>Bitte Wert eingeben</t>
        </r>
      </text>
    </comment>
    <comment ref="K24" authorId="1" shapeId="0" xr:uid="{D0B6A69F-E61F-42CD-9522-03225A62E65E}">
      <text>
        <r>
          <rPr>
            <sz val="10"/>
            <rFont val="Arial"/>
            <family val="2"/>
            <charset val="1"/>
          </rPr>
          <t>Bitte Wert eingeben</t>
        </r>
      </text>
    </comment>
    <comment ref="L24" authorId="1" shapeId="0" xr:uid="{89318CB4-1F3F-45B4-AE7D-A18BC7798F7C}">
      <text>
        <r>
          <rPr>
            <sz val="10"/>
            <rFont val="Arial"/>
            <family val="2"/>
            <charset val="1"/>
          </rPr>
          <t>Bitte Wert eingeben</t>
        </r>
      </text>
    </comment>
    <comment ref="N24" authorId="0" shapeId="0" xr:uid="{AC3D6625-1907-4868-BABB-F2CE6FE528CE}">
      <text>
        <r>
          <rPr>
            <sz val="9"/>
            <color indexed="81"/>
            <rFont val="Segoe UI"/>
            <family val="2"/>
          </rPr>
          <t>Eingabe von pε=4, wenn kein Wert verfügbar ist --&gt; Standardwert in PHREEQC</t>
        </r>
      </text>
    </comment>
    <comment ref="R24" authorId="0" shapeId="0" xr:uid="{4B0D04B2-779B-4DD7-B826-E7A607C47240}">
      <text>
        <r>
          <rPr>
            <b/>
            <sz val="9"/>
            <color indexed="81"/>
            <rFont val="Segoe UI"/>
            <family val="2"/>
          </rPr>
          <t xml:space="preserve">Hinweis:
</t>
        </r>
        <r>
          <rPr>
            <sz val="9"/>
            <color indexed="81"/>
            <rFont val="Segoe UI"/>
            <family val="2"/>
          </rPr>
          <t>Wenn kein Wert verfügbar ist, bitte Maximalwert (siehe U27) verwenden.</t>
        </r>
      </text>
    </comment>
    <comment ref="M33" authorId="0" shapeId="0" xr:uid="{6FAB66A9-A1C4-4CBB-8829-DBDA4C201576}">
      <text>
        <r>
          <rPr>
            <b/>
            <sz val="9"/>
            <color indexed="81"/>
            <rFont val="Segoe UI"/>
            <family val="2"/>
          </rPr>
          <t xml:space="preserve">Tests zur allgemeinen Bakterienanzahl:
</t>
        </r>
        <r>
          <rPr>
            <sz val="9"/>
            <color indexed="81"/>
            <rFont val="Segoe UI"/>
            <family val="2"/>
          </rPr>
          <t>z.B. R2A/R2A, TTC/TTC</t>
        </r>
      </text>
    </comment>
    <comment ref="W33" authorId="0" shapeId="0" xr:uid="{89B245A1-5545-47CC-9130-25B080B90B62}">
      <text>
        <r>
          <rPr>
            <sz val="9"/>
            <color indexed="81"/>
            <rFont val="Segoe UI"/>
            <family val="2"/>
          </rPr>
          <t xml:space="preserve">z.B. </t>
        </r>
        <r>
          <rPr>
            <i/>
            <sz val="9"/>
            <color indexed="81"/>
            <rFont val="Segoe UI"/>
            <family val="2"/>
          </rPr>
          <t>E.coli, Ehec, Salmonellen</t>
        </r>
      </text>
    </comment>
    <comment ref="D43" authorId="0" shapeId="0" xr:uid="{4E446629-3C40-4FAB-B101-5A20E78C62A4}">
      <text>
        <r>
          <rPr>
            <sz val="9"/>
            <color indexed="81"/>
            <rFont val="Segoe UI"/>
            <family val="2"/>
          </rPr>
          <t>Bewertung aus Sicht der Heizanwendung</t>
        </r>
      </text>
    </comment>
    <comment ref="F49" authorId="1" shapeId="0" xr:uid="{E4D73708-D421-4C4F-B982-3061E651AC7A}">
      <text>
        <r>
          <rPr>
            <sz val="10"/>
            <rFont val="Arial"/>
            <family val="2"/>
            <charset val="1"/>
          </rPr>
          <t>Bitte Wert eingeben
Wenn kein Wert vorhanden ist, können die Rahmenwerte verwendet werden:
Grubenwasser eher tief: 745 m eintragen
Grubenwasser eher oberfächennah: 140 m eintragen
Teufe unbekannt: 320 m eintragen</t>
        </r>
      </text>
    </comment>
    <comment ref="H49" authorId="1" shapeId="0" xr:uid="{7D97E412-E0A6-4609-9B1E-D30D1A165C24}">
      <text>
        <r>
          <rPr>
            <sz val="10"/>
            <rFont val="Arial"/>
            <family val="2"/>
            <charset val="1"/>
          </rPr>
          <t>Wert wird aus technischen Parametern berechnet</t>
        </r>
      </text>
    </comment>
    <comment ref="I49" authorId="1" shapeId="0" xr:uid="{ABDC09BD-B967-4162-B861-769FF88C183E}">
      <text>
        <r>
          <rPr>
            <sz val="10"/>
            <rFont val="Arial"/>
            <family val="2"/>
            <charset val="1"/>
          </rPr>
          <t>Wert wird aus technischen Parametern berechnet</t>
        </r>
      </text>
    </comment>
    <comment ref="J49" authorId="0" shapeId="0" xr:uid="{3324E84A-47F5-475F-B19E-11677ED02966}">
      <text>
        <r>
          <rPr>
            <sz val="9"/>
            <color indexed="81"/>
            <rFont val="Segoe UI"/>
            <family val="2"/>
          </rPr>
          <t xml:space="preserve">Wenn kein Wert vorhanden ist, bitte 2500 h/a eintragen
</t>
        </r>
      </text>
    </comment>
    <comment ref="K49" authorId="0" shapeId="0" xr:uid="{EC3AA886-0266-410A-A7EF-8FCABB1C60CB}">
      <text>
        <r>
          <rPr>
            <sz val="9"/>
            <color indexed="81"/>
            <rFont val="Segoe UI"/>
            <family val="2"/>
          </rPr>
          <t xml:space="preserve">Wenn kein Wert vorhanden ist, bitte 2500 h/a eintragen
</t>
        </r>
      </text>
    </comment>
    <comment ref="L49" authorId="1" shapeId="0" xr:uid="{88B9DBCC-A614-46A7-A4D0-729342570D77}">
      <text>
        <r>
          <rPr>
            <sz val="10"/>
            <rFont val="Arial"/>
            <family val="2"/>
            <charset val="1"/>
          </rPr>
          <t>Bitte Wert eingeben</t>
        </r>
      </text>
    </comment>
    <comment ref="O49" authorId="1" shapeId="0" xr:uid="{52D390D1-726D-42AD-AD23-7EE570315D2F}">
      <text>
        <r>
          <rPr>
            <sz val="10"/>
            <rFont val="Arial"/>
            <family val="2"/>
            <charset val="1"/>
          </rPr>
          <t>Bitte Wert eingeben</t>
        </r>
      </text>
    </comment>
    <comment ref="P49" authorId="1" shapeId="0" xr:uid="{0873890D-78EA-4938-B7BB-BFF3D794DECD}">
      <text>
        <r>
          <rPr>
            <sz val="10"/>
            <rFont val="Arial"/>
            <family val="2"/>
            <charset val="1"/>
          </rPr>
          <t>Wert übernehmen oder Wert eingeben</t>
        </r>
      </text>
    </comment>
    <comment ref="R49" authorId="1" shapeId="0" xr:uid="{F8664227-5513-4B1B-A455-0ACEAE4D3205}">
      <text>
        <r>
          <rPr>
            <sz val="10"/>
            <rFont val="Arial"/>
            <family val="2"/>
            <charset val="1"/>
          </rPr>
          <t>Wert übernehmen oder Wert eingeben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loppelt</author>
  </authors>
  <commentList>
    <comment ref="F38" authorId="0" shapeId="0" xr:uid="{55977D0E-E7D9-4A1A-89AD-5C592E2DFD3E}">
      <text>
        <r>
          <rPr>
            <sz val="9"/>
            <color indexed="81"/>
            <rFont val="Segoe UI"/>
            <family val="2"/>
          </rPr>
          <t>Wenn kein Wert  verfügbar ist:
Wert zwischen 3 (passive Schätzung) und 5 (positive Schätzung) eintragen</t>
        </r>
      </text>
    </comment>
    <comment ref="F40" authorId="0" shapeId="0" xr:uid="{23C0506F-018D-4520-8597-0479A5BCB5DF}">
      <text>
        <r>
          <rPr>
            <sz val="9"/>
            <color indexed="81"/>
            <rFont val="Segoe UI"/>
            <family val="2"/>
          </rPr>
          <t xml:space="preserve">Wenn kein Wert  verfügbar ist:
Wert zwischen 4 (passive Schätzung) und 7 (positive Schätzung) eintragen
</t>
        </r>
      </text>
    </comment>
    <comment ref="H51" authorId="0" shapeId="0" xr:uid="{A5794426-8114-4974-ABB8-EB29B0B63B8E}">
      <text>
        <r>
          <rPr>
            <sz val="9"/>
            <color indexed="81"/>
            <rFont val="Segoe UI"/>
            <family val="2"/>
          </rPr>
          <t xml:space="preserve">Bei sehr guter Bewertung (A+-B) und langen Betrachtungszeiträumen &gt;&gt;10.000 h unterleigt die Prognose eienr sehr goßen Abweichung. Meist erfolgt dann eine deutliche Überschätzung des Foulingeinflusses
</t>
        </r>
      </text>
    </comment>
    <comment ref="B71" authorId="0" shapeId="0" xr:uid="{76149D26-FE44-446D-AAEE-5B7D6025D618}">
      <text>
        <r>
          <rPr>
            <sz val="9"/>
            <color indexed="81"/>
            <rFont val="Segoe UI"/>
            <family val="2"/>
          </rPr>
          <t xml:space="preserve">Die Trendlinien werden auf Basis von gemessenen Realdaten für drei Pilotstandorte entwickelt und unterliegen deshalb entsprechenden Unsicherheiten. Sie geben eine ungefähre Tendenz, wie sich die Heiz- bzw. Kühlleistung entwickeln kann. Es ist nicht auszuschließen, dass Werte außerhalb der Linien erreicht werden.
</t>
        </r>
      </text>
    </comment>
    <comment ref="B89" authorId="0" shapeId="0" xr:uid="{E45081EA-AD35-4ADF-AD53-5245196B568E}">
      <text>
        <r>
          <rPr>
            <sz val="9"/>
            <color indexed="81"/>
            <rFont val="Segoe UI"/>
            <family val="2"/>
          </rPr>
          <t xml:space="preserve">Bei einer sehr hohen Foulingklassifizierung (A+, A oder B) kann die Prognose bei hohen Betriebszeiten (&gt;&gt;10.000 h) das Ergebnis stark unterschätzen. D.h. es werden dann in diesem hohen Betriebszeitenbereich deutlich mehr Ablagerungen prognostiziert, als tatsächlich vorliegen.
</t>
        </r>
      </text>
    </comment>
    <comment ref="B93" authorId="0" shapeId="0" xr:uid="{7DD6DBE9-727E-4CE2-9C50-6BE2C5BC03A1}">
      <text>
        <r>
          <rPr>
            <sz val="9"/>
            <color indexed="81"/>
            <rFont val="Segoe UI"/>
            <family val="2"/>
          </rPr>
          <t>Das Tool ist auf eine jährliche Betrachtung ausgelegt. Es können aber auch Betriebszeiten über 8760 h, d.h. über einem Jahr eingetragen werden.</t>
        </r>
      </text>
    </comment>
    <comment ref="B94" authorId="0" shapeId="0" xr:uid="{6FA31425-FB3A-4069-9EB5-1C7D5503C3EF}">
      <text>
        <r>
          <rPr>
            <sz val="9"/>
            <color indexed="81"/>
            <rFont val="Segoe UI"/>
            <family val="2"/>
          </rPr>
          <t xml:space="preserve">Zur Abrechnung der geplanten Betriebszeit kann die Hilfsrechnung rechts genutzt werden.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loppelt</author>
  </authors>
  <commentList>
    <comment ref="B5" authorId="0" shapeId="0" xr:uid="{45316360-408F-4502-AE5C-CEE363B9FB4B}">
      <text>
        <r>
          <rPr>
            <sz val="9"/>
            <color indexed="81"/>
            <rFont val="Segoe UI"/>
            <family val="2"/>
          </rPr>
          <t xml:space="preserve">Werden aus Eingabemaske übernommen
</t>
        </r>
      </text>
    </comment>
    <comment ref="B33" authorId="0" shapeId="0" xr:uid="{129D51E3-513A-43FF-9E72-1C4714446200}">
      <text>
        <r>
          <rPr>
            <sz val="9"/>
            <color indexed="81"/>
            <rFont val="Segoe UI"/>
            <family val="2"/>
          </rPr>
          <t xml:space="preserve">Auswahl von drei Materialien für den Vergleich
</t>
        </r>
      </text>
    </comment>
    <comment ref="B42" authorId="0" shapeId="0" xr:uid="{ACB3896E-A61D-4173-AE90-3F701F532CB5}">
      <text>
        <r>
          <rPr>
            <sz val="9"/>
            <color indexed="81"/>
            <rFont val="Segoe UI"/>
            <family val="2"/>
          </rPr>
          <t xml:space="preserve">Auswahl von drei Materialien für den Vergleich
</t>
        </r>
      </text>
    </comment>
    <comment ref="D96" authorId="0" shapeId="0" xr:uid="{2FD854A6-4D74-48E2-B794-3B4BCF315A38}">
      <text>
        <r>
          <rPr>
            <sz val="9"/>
            <color indexed="81"/>
            <rFont val="Segoe UI"/>
            <family val="2"/>
          </rPr>
          <t xml:space="preserve">Wenn Informationen zu Preisen hinterlegt sind werden diese hier angepasst und können als Ansatz zur Quantifzierung der Mehrkosten einer Beschictung genutzt werden.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loppelt</author>
  </authors>
  <commentList>
    <comment ref="AK5" authorId="0" shapeId="0" xr:uid="{ACBAC5C1-C895-4310-9659-D69EC775436B}">
      <text>
        <r>
          <rPr>
            <b/>
            <sz val="9"/>
            <color indexed="81"/>
            <rFont val="Segoe UI"/>
            <family val="2"/>
          </rPr>
          <t>loppelt:</t>
        </r>
        <r>
          <rPr>
            <sz val="9"/>
            <color indexed="81"/>
            <rFont val="Segoe UI"/>
            <family val="2"/>
          </rPr>
          <t xml:space="preserve">
In Abhängigkeit des Kruskal-Wallis-Tests, wenn signifikant unterschiedlich: Verdopplung der Wichtung des Parameters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loppelt</author>
  </authors>
  <commentList>
    <comment ref="D33" authorId="0" shapeId="0" xr:uid="{62C143DD-E3F0-4EC9-A8EE-CBA24F57E3AC}">
      <text>
        <r>
          <rPr>
            <b/>
            <sz val="9"/>
            <color indexed="81"/>
            <rFont val="Segoe UI"/>
            <family val="2"/>
          </rPr>
          <t>loppelt:</t>
        </r>
        <r>
          <rPr>
            <sz val="9"/>
            <color indexed="81"/>
            <rFont val="Segoe UI"/>
            <family val="2"/>
          </rPr>
          <t xml:space="preserve">
Umgerechnet aus 2,7 Rz</t>
        </r>
      </text>
    </comment>
    <comment ref="D44" authorId="0" shapeId="0" xr:uid="{344FD71E-0A0F-4707-A3E2-52C8A99418BD}">
      <text>
        <r>
          <rPr>
            <b/>
            <sz val="9"/>
            <color indexed="81"/>
            <rFont val="Segoe UI"/>
            <family val="2"/>
          </rPr>
          <t>loppelt:</t>
        </r>
        <r>
          <rPr>
            <sz val="9"/>
            <color indexed="81"/>
            <rFont val="Segoe UI"/>
            <family val="2"/>
          </rPr>
          <t xml:space="preserve">
Umgerechnet aus Rz 2,4</t>
        </r>
      </text>
    </comment>
    <comment ref="D45" authorId="0" shapeId="0" xr:uid="{6689FB28-CD0D-4B30-93A1-6C3FE5F03517}">
      <text>
        <r>
          <rPr>
            <b/>
            <sz val="9"/>
            <color indexed="81"/>
            <rFont val="Segoe UI"/>
            <family val="2"/>
          </rPr>
          <t>loppelt:</t>
        </r>
        <r>
          <rPr>
            <sz val="9"/>
            <color indexed="81"/>
            <rFont val="Segoe UI"/>
            <family val="2"/>
          </rPr>
          <t xml:space="preserve">
Umgerechnet aus Rz 2,4</t>
        </r>
      </text>
    </comment>
    <comment ref="D46" authorId="0" shapeId="0" xr:uid="{6659428F-D28F-4F50-A67D-64A434774EFC}">
      <text>
        <r>
          <rPr>
            <b/>
            <sz val="9"/>
            <color indexed="81"/>
            <rFont val="Segoe UI"/>
            <family val="2"/>
          </rPr>
          <t>loppelt:</t>
        </r>
        <r>
          <rPr>
            <sz val="9"/>
            <color indexed="81"/>
            <rFont val="Segoe UI"/>
            <family val="2"/>
          </rPr>
          <t xml:space="preserve">
Umgerechnet aus Rz 2,4</t>
        </r>
      </text>
    </comment>
    <comment ref="AB47" authorId="0" shapeId="0" xr:uid="{651FC3D5-B17B-4BFB-A36B-BF0B706D4966}">
      <text>
        <r>
          <rPr>
            <b/>
            <sz val="9"/>
            <color indexed="81"/>
            <rFont val="Segoe UI"/>
            <family val="2"/>
          </rPr>
          <t>loppelt:</t>
        </r>
        <r>
          <rPr>
            <sz val="9"/>
            <color indexed="81"/>
            <rFont val="Segoe UI"/>
            <family val="2"/>
          </rPr>
          <t xml:space="preserve">
Plasma Enhanced chemical Vapour Deposition under vacuum</t>
        </r>
      </text>
    </comment>
    <comment ref="D50" authorId="0" shapeId="0" xr:uid="{A6058339-488C-471E-98AF-2E845270D6F8}">
      <text>
        <r>
          <rPr>
            <b/>
            <sz val="9"/>
            <color indexed="81"/>
            <rFont val="Segoe UI"/>
            <family val="2"/>
          </rPr>
          <t>loppelt:</t>
        </r>
        <r>
          <rPr>
            <sz val="9"/>
            <color indexed="81"/>
            <rFont val="Segoe UI"/>
            <family val="2"/>
          </rPr>
          <t xml:space="preserve">
Umgerechent aus Rz 2,6</t>
        </r>
      </text>
    </comment>
    <comment ref="D54" authorId="0" shapeId="0" xr:uid="{DCDC6379-8295-4613-8B15-0D39F5429DDA}">
      <text>
        <r>
          <rPr>
            <b/>
            <sz val="9"/>
            <color indexed="81"/>
            <rFont val="Segoe UI"/>
            <family val="2"/>
          </rPr>
          <t>loppelt:</t>
        </r>
        <r>
          <rPr>
            <sz val="9"/>
            <color indexed="81"/>
            <rFont val="Segoe UI"/>
            <family val="2"/>
          </rPr>
          <t xml:space="preserve">
Umgerechnet aus Rz 1</t>
        </r>
      </text>
    </comment>
    <comment ref="D56" authorId="0" shapeId="0" xr:uid="{9EE918AC-267B-4C58-A17A-5C69B6FF4552}">
      <text>
        <r>
          <rPr>
            <b/>
            <sz val="9"/>
            <color indexed="81"/>
            <rFont val="Segoe UI"/>
            <family val="2"/>
          </rPr>
          <t>loppelt:</t>
        </r>
        <r>
          <rPr>
            <sz val="9"/>
            <color indexed="81"/>
            <rFont val="Segoe UI"/>
            <family val="2"/>
          </rPr>
          <t xml:space="preserve">
Umgerechnet aus Rz 1,5</t>
        </r>
      </text>
    </comment>
    <comment ref="D92" authorId="0" shapeId="0" xr:uid="{E67E4231-E204-48C1-AE25-630FA91409B9}">
      <text>
        <r>
          <rPr>
            <b/>
            <sz val="9"/>
            <color indexed="81"/>
            <rFont val="Segoe UI"/>
            <family val="2"/>
          </rPr>
          <t>loppelt:</t>
        </r>
        <r>
          <rPr>
            <sz val="9"/>
            <color indexed="81"/>
            <rFont val="Segoe UI"/>
            <family val="2"/>
          </rPr>
          <t xml:space="preserve">
Umgerechnet aus Rz 2,45
</t>
        </r>
      </text>
    </comment>
    <comment ref="D93" authorId="0" shapeId="0" xr:uid="{BC87AC55-F170-467F-B303-957669FC73AA}">
      <text>
        <r>
          <rPr>
            <b/>
            <sz val="9"/>
            <color indexed="81"/>
            <rFont val="Segoe UI"/>
            <family val="2"/>
          </rPr>
          <t>loppelt:</t>
        </r>
        <r>
          <rPr>
            <sz val="9"/>
            <color indexed="81"/>
            <rFont val="Segoe UI"/>
            <family val="2"/>
          </rPr>
          <t xml:space="preserve">
Umgerechnet aus Rz 1,1</t>
        </r>
      </text>
    </comment>
    <comment ref="D94" authorId="0" shapeId="0" xr:uid="{07F8EC8D-5E64-484F-A6A4-5D415A70D0EC}">
      <text>
        <r>
          <rPr>
            <b/>
            <sz val="9"/>
            <color indexed="81"/>
            <rFont val="Segoe UI"/>
            <family val="2"/>
          </rPr>
          <t>loppelt:</t>
        </r>
        <r>
          <rPr>
            <sz val="9"/>
            <color indexed="81"/>
            <rFont val="Segoe UI"/>
            <family val="2"/>
          </rPr>
          <t xml:space="preserve">
Umgerechnet aus Rz 1,2
</t>
        </r>
      </text>
    </comment>
    <comment ref="D95" authorId="0" shapeId="0" xr:uid="{3FDD72A0-4A76-4FF8-87F0-76650218CB97}">
      <text>
        <r>
          <rPr>
            <b/>
            <sz val="9"/>
            <color indexed="81"/>
            <rFont val="Segoe UI"/>
            <family val="2"/>
          </rPr>
          <t>loppelt:</t>
        </r>
        <r>
          <rPr>
            <sz val="9"/>
            <color indexed="81"/>
            <rFont val="Segoe UI"/>
            <family val="2"/>
          </rPr>
          <t xml:space="preserve">
Umgerechent aus Rz 2,6</t>
        </r>
      </text>
    </comment>
    <comment ref="D96" authorId="0" shapeId="0" xr:uid="{A54B85D4-F60E-4D08-B405-9D408ADD45F1}">
      <text>
        <r>
          <rPr>
            <b/>
            <sz val="9"/>
            <color indexed="81"/>
            <rFont val="Segoe UI"/>
            <family val="2"/>
          </rPr>
          <t>loppelt:</t>
        </r>
        <r>
          <rPr>
            <sz val="9"/>
            <color indexed="81"/>
            <rFont val="Segoe UI"/>
            <family val="2"/>
          </rPr>
          <t xml:space="preserve">
Umgerechnet aus Rz 2,4</t>
        </r>
      </text>
    </comment>
    <comment ref="D97" authorId="0" shapeId="0" xr:uid="{367E7D41-39FE-4EFF-89B0-6A54327A6D2A}">
      <text>
        <r>
          <rPr>
            <b/>
            <sz val="9"/>
            <color indexed="81"/>
            <rFont val="Segoe UI"/>
            <family val="2"/>
          </rPr>
          <t>loppelt:</t>
        </r>
        <r>
          <rPr>
            <sz val="9"/>
            <color indexed="81"/>
            <rFont val="Segoe UI"/>
            <family val="2"/>
          </rPr>
          <t xml:space="preserve">
Umgerechnet aus Rz 1,2
</t>
        </r>
      </text>
    </comment>
    <comment ref="J137" authorId="0" shapeId="0" xr:uid="{040A7DEF-D9D7-45A3-B55C-1E99FEE76C04}">
      <text>
        <r>
          <rPr>
            <b/>
            <sz val="9"/>
            <color indexed="81"/>
            <rFont val="Segoe UI"/>
            <family val="2"/>
          </rPr>
          <t>loppelt:</t>
        </r>
        <r>
          <rPr>
            <sz val="9"/>
            <color indexed="81"/>
            <rFont val="Segoe UI"/>
            <family val="2"/>
          </rPr>
          <t xml:space="preserve">
https://www.researchgate.net/figure/Surface-energy-determined-for-brass_tbl1_267835326</t>
        </r>
      </text>
    </comment>
    <comment ref="M138" authorId="0" shapeId="0" xr:uid="{0EAAB8BA-586A-4A3A-BAE0-F38F32CE345D}">
      <text>
        <r>
          <rPr>
            <b/>
            <sz val="9"/>
            <color indexed="81"/>
            <rFont val="Segoe UI"/>
            <family val="2"/>
          </rPr>
          <t>loppelt:</t>
        </r>
        <r>
          <rPr>
            <sz val="9"/>
            <color indexed="81"/>
            <rFont val="Segoe UI"/>
            <family val="2"/>
          </rPr>
          <t xml:space="preserve">
Eigentlich 150 auf 100 gedeckelt
</t>
        </r>
      </text>
    </comment>
    <comment ref="M141" authorId="0" shapeId="0" xr:uid="{9A4B2075-2284-402B-8E31-1D7B29D2A43D}">
      <text>
        <r>
          <rPr>
            <b/>
            <sz val="9"/>
            <color indexed="81"/>
            <rFont val="Segoe UI"/>
            <family val="2"/>
          </rPr>
          <t>loppelt:</t>
        </r>
        <r>
          <rPr>
            <sz val="9"/>
            <color indexed="81"/>
            <rFont val="Segoe UI"/>
            <family val="2"/>
          </rPr>
          <t xml:space="preserve">
eigentlich 110, aber auf 100 gedeckelt</t>
        </r>
      </text>
    </comment>
    <comment ref="B145" authorId="0" shapeId="0" xr:uid="{1D1EBC04-F4BB-40DE-934C-9D0FAC6DFE24}">
      <text>
        <r>
          <rPr>
            <b/>
            <sz val="9"/>
            <color indexed="81"/>
            <rFont val="Segoe UI"/>
            <family val="2"/>
          </rPr>
          <t>loppelt:</t>
        </r>
        <r>
          <rPr>
            <sz val="9"/>
            <color indexed="81"/>
            <rFont val="Segoe UI"/>
            <family val="2"/>
          </rPr>
          <t xml:space="preserve">
Plasma Enhanced chemical Vapour Deposition under vacuum</t>
        </r>
      </text>
    </comment>
    <comment ref="M149" authorId="0" shapeId="0" xr:uid="{2067F6BF-2A2D-4D57-AF08-8D949E81DE22}">
      <text>
        <r>
          <rPr>
            <b/>
            <sz val="9"/>
            <color indexed="81"/>
            <rFont val="Segoe UI"/>
            <family val="2"/>
          </rPr>
          <t>loppelt:</t>
        </r>
        <r>
          <rPr>
            <sz val="9"/>
            <color indexed="81"/>
            <rFont val="Segoe UI"/>
            <family val="2"/>
          </rPr>
          <t xml:space="preserve">
eigentlich 650, aber auf 100 gedeckelt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00000000-0006-0000-0800-000001000000}">
      <text>
        <r>
          <rPr>
            <sz val="10"/>
            <rFont val="Arial"/>
            <family val="2"/>
            <charset val="1"/>
          </rPr>
          <t>Bitte Wert eingeben</t>
        </r>
      </text>
    </comment>
    <comment ref="F4" authorId="0" shapeId="0" xr:uid="{00000000-0006-0000-0800-000002000000}">
      <text>
        <r>
          <rPr>
            <sz val="10"/>
            <rFont val="Arial"/>
            <family val="2"/>
            <charset val="1"/>
          </rPr>
          <t>Bitte Wert eingeben, wenn kein Wert gegeben V = 100 m³/h</t>
        </r>
      </text>
    </comment>
    <comment ref="B22" authorId="0" shapeId="0" xr:uid="{442FA50B-2724-49F8-B7EA-C1D0D9486CDF}">
      <text>
        <r>
          <rPr>
            <sz val="10"/>
            <rFont val="Arial"/>
            <family val="2"/>
            <charset val="1"/>
          </rPr>
          <t>Bitte Wert eingeben</t>
        </r>
      </text>
    </comment>
    <comment ref="F22" authorId="0" shapeId="0" xr:uid="{DC494401-01F4-4A5A-87B7-41977405304B}">
      <text>
        <r>
          <rPr>
            <sz val="10"/>
            <rFont val="Arial"/>
            <family val="2"/>
            <charset val="1"/>
          </rPr>
          <t>Bitte Wert eingeben, wenn kein Wert gegeben V = 100 m³/h</t>
        </r>
      </text>
    </comment>
    <comment ref="B39" authorId="0" shapeId="0" xr:uid="{4E4E09AC-473B-4F80-B811-45BF67E4AE73}">
      <text>
        <r>
          <rPr>
            <sz val="10"/>
            <rFont val="Arial"/>
            <family val="2"/>
            <charset val="1"/>
          </rPr>
          <t>Bitte Wert eingeben</t>
        </r>
      </text>
    </comment>
    <comment ref="F39" authorId="0" shapeId="0" xr:uid="{261E8F98-6956-4B6E-9974-D7014AD93395}">
      <text>
        <r>
          <rPr>
            <sz val="10"/>
            <rFont val="Arial"/>
            <family val="2"/>
            <charset val="1"/>
          </rPr>
          <t>Bitte Wert eingeben, wenn kein Wert gegeben V = 100 m³/h</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00000000-0006-0000-0900-000001000000}">
      <text>
        <r>
          <rPr>
            <sz val="10"/>
            <rFont val="Arial"/>
            <family val="2"/>
            <charset val="1"/>
          </rPr>
          <t>Bitte Wert eingeben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4" authorId="0" shapeId="0" xr:uid="{00000000-0006-0000-0A00-000001000000}">
      <text>
        <r>
          <rPr>
            <sz val="10"/>
            <rFont val="Arial"/>
            <family val="2"/>
            <charset val="1"/>
          </rPr>
          <t>Bitte Wert eingeben</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3E53227-716D-4850-ACC8-CFC3DFC9E187}" keepAlive="1" name="Abfrage - Löslichkeitstabelle-Wasser-I" description="Verbindung mit der Abfrage 'Löslichkeitstabelle-Wasser-I' in der Arbeitsmappe." type="5" refreshedVersion="7" background="1" saveData="1">
    <dbPr connection="Provider=Microsoft.Mashup.OleDb.1;Data Source=$Workbook$;Location=Löslichkeitstabelle-Wasser-I;Extended Properties=&quot;&quot;" command="SELECT * FROM [Löslichkeitstabelle-Wasser-I]"/>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<sst xmlns="http://schemas.openxmlformats.org/spreadsheetml/2006/main" count="2863" uniqueCount="1085">
  <si>
    <t>Eingabe</t>
  </si>
  <si>
    <t>Physikalische Parameter</t>
  </si>
  <si>
    <t>Chemische Parameter</t>
  </si>
  <si>
    <t>Biologische Parameter</t>
  </si>
  <si>
    <t>Keiner</t>
  </si>
  <si>
    <t>Parameter</t>
  </si>
  <si>
    <t>Temperatur</t>
  </si>
  <si>
    <t>Volumenstrom</t>
  </si>
  <si>
    <t>pH-Wert</t>
  </si>
  <si>
    <t>Fe</t>
  </si>
  <si>
    <t>As</t>
  </si>
  <si>
    <t>Mn</t>
  </si>
  <si>
    <t>Al</t>
  </si>
  <si>
    <t>Zn</t>
  </si>
  <si>
    <t>Wichtung</t>
  </si>
  <si>
    <t>Wert gegeben?</t>
  </si>
  <si>
    <t>Ja</t>
  </si>
  <si>
    <t>Moderat</t>
  </si>
  <si>
    <t>V,Delta_T_1</t>
  </si>
  <si>
    <t>Wirtschaftliche Parameter</t>
  </si>
  <si>
    <t>Toxizität</t>
  </si>
  <si>
    <t>Uran</t>
  </si>
  <si>
    <t>PAK</t>
  </si>
  <si>
    <t>Cd</t>
  </si>
  <si>
    <t>Pb</t>
  </si>
  <si>
    <t>Viele</t>
  </si>
  <si>
    <t>Wenige</t>
  </si>
  <si>
    <t>Ausgabe</t>
  </si>
  <si>
    <t>Foulingart</t>
  </si>
  <si>
    <t>Chemisch</t>
  </si>
  <si>
    <t>Biologisch</t>
  </si>
  <si>
    <t>Wirtschaftlich</t>
  </si>
  <si>
    <t>Toxisch</t>
  </si>
  <si>
    <t>Biofouling</t>
  </si>
  <si>
    <t>Punkte</t>
  </si>
  <si>
    <t>Kristallisationsfouling</t>
  </si>
  <si>
    <t>Partikelfouling</t>
  </si>
  <si>
    <t>Prozentual</t>
  </si>
  <si>
    <t>Korrosionsfouling</t>
  </si>
  <si>
    <t>Gesamtfouling</t>
  </si>
  <si>
    <t>Gesamt</t>
  </si>
  <si>
    <t>Bakterien</t>
  </si>
  <si>
    <t>Lepthotrix sp.</t>
  </si>
  <si>
    <t>Pseudomonas sp.</t>
  </si>
  <si>
    <t>Thermoactinomyces sp.</t>
  </si>
  <si>
    <t>Thermococcus sp.</t>
  </si>
  <si>
    <t>Pyrodictium sp.</t>
  </si>
  <si>
    <t>Fauna</t>
  </si>
  <si>
    <t>eurytherme Oberflächenart</t>
  </si>
  <si>
    <t>eurytherme Grundwasserart</t>
  </si>
  <si>
    <t>stenotherme Grundwasserart</t>
  </si>
  <si>
    <t>Parameter für Punktevergabe</t>
  </si>
  <si>
    <t>chemische Parameter</t>
  </si>
  <si>
    <t>Eisen</t>
  </si>
  <si>
    <t>Arsen</t>
  </si>
  <si>
    <t>Mangan</t>
  </si>
  <si>
    <t>Aluminium</t>
  </si>
  <si>
    <t>Zink</t>
  </si>
  <si>
    <t>µg/l</t>
  </si>
  <si>
    <t>Anzahl der zu vergebenden Punkte</t>
  </si>
  <si>
    <t>Drop-Down-Menü Biologische Parameter</t>
  </si>
  <si>
    <t>Drop-Down-Menü Abnehmer im Umkreis</t>
  </si>
  <si>
    <t>b</t>
  </si>
  <si>
    <t>Wert gegeben</t>
  </si>
  <si>
    <t>Nein</t>
  </si>
  <si>
    <t>Faktor</t>
  </si>
  <si>
    <t>Drop-Down-Menü Sauerstoff</t>
  </si>
  <si>
    <t>Umfangreich</t>
  </si>
  <si>
    <t>Gering</t>
  </si>
  <si>
    <t>Drop-Down-Menü WÜ</t>
  </si>
  <si>
    <t>Q,V</t>
  </si>
  <si>
    <t>A</t>
  </si>
  <si>
    <t>T_1_m*</t>
  </si>
  <si>
    <t>T_2_m*</t>
  </si>
  <si>
    <t>Wasser</t>
  </si>
  <si>
    <t>t</t>
  </si>
  <si>
    <t>rho</t>
  </si>
  <si>
    <t>cp</t>
  </si>
  <si>
    <t>lambda</t>
  </si>
  <si>
    <t>my</t>
  </si>
  <si>
    <t>Pr</t>
  </si>
  <si>
    <t>Row</t>
  </si>
  <si>
    <t>-</t>
  </si>
  <si>
    <t>°C</t>
  </si>
  <si>
    <t>kg/m³</t>
  </si>
  <si>
    <t>J/(kg*K)</t>
  </si>
  <si>
    <t>W/(m*K)</t>
  </si>
  <si>
    <t>10^-6 m²/s</t>
  </si>
  <si>
    <t>m²/s</t>
  </si>
  <si>
    <t>bei Bezugstemp</t>
  </si>
  <si>
    <t>Glykol-Wasser</t>
  </si>
  <si>
    <t>Glykol</t>
  </si>
  <si>
    <t>Stufe 1</t>
  </si>
  <si>
    <t>Bio</t>
  </si>
  <si>
    <t>Kristallisation</t>
  </si>
  <si>
    <t>Partikel</t>
  </si>
  <si>
    <t>Korrosion</t>
  </si>
  <si>
    <t>summe</t>
  </si>
  <si>
    <t>Strömungsgeschwindigkeit</t>
  </si>
  <si>
    <t>Hilfstabelle</t>
  </si>
  <si>
    <t>eur. Oberfl.</t>
  </si>
  <si>
    <t>eur. Grundw.</t>
  </si>
  <si>
    <t>steno. Grundw.</t>
  </si>
  <si>
    <t>Sulfat</t>
  </si>
  <si>
    <t>TOC</t>
  </si>
  <si>
    <t>K</t>
  </si>
  <si>
    <t>mV</t>
  </si>
  <si>
    <t>Differenz zur Maximalpunktzahl</t>
  </si>
  <si>
    <t>Prozentual Foulingwahrscheinlichkeit</t>
  </si>
  <si>
    <t>Prozentual Phyisikalische Parameter Punkte</t>
  </si>
  <si>
    <t>Druck in mm/Quecksilber</t>
  </si>
  <si>
    <t>Druck in bar</t>
  </si>
  <si>
    <t>Druck in atm</t>
  </si>
  <si>
    <t>Kühlanwendung?</t>
  </si>
  <si>
    <t>Heizanwendung?</t>
  </si>
  <si>
    <t>Heiztemperatur</t>
  </si>
  <si>
    <t>Kühltemperatur</t>
  </si>
  <si>
    <t>Gesamttemperatur</t>
  </si>
  <si>
    <t>Delta T:</t>
  </si>
  <si>
    <t>Anwendungsfall</t>
  </si>
  <si>
    <t>Druck</t>
  </si>
  <si>
    <t>Keine Bewertung, nur Rechenwert</t>
  </si>
  <si>
    <t>Umgebungsdruck</t>
  </si>
  <si>
    <t>Sauerstoff</t>
  </si>
  <si>
    <t>Max. gelöster Sauerstoff bei Standortbedingungen:</t>
  </si>
  <si>
    <t>Molare Masse Sauerstoff</t>
  </si>
  <si>
    <t>g/mol</t>
  </si>
  <si>
    <t>Molare Masse Wasser</t>
  </si>
  <si>
    <t>mol</t>
  </si>
  <si>
    <t>Stoffmenge Wasser</t>
  </si>
  <si>
    <t>Stoffmenge Sauerstoff Eingabewert</t>
  </si>
  <si>
    <t>Stoffmenge Sauerstoff Max</t>
  </si>
  <si>
    <t>Ab hier interpoliert</t>
  </si>
  <si>
    <t>ARIMEX AR4A-IT10-10-TL</t>
  </si>
  <si>
    <t>TRANTER GLP-008P</t>
  </si>
  <si>
    <t>l</t>
  </si>
  <si>
    <t>Λ</t>
  </si>
  <si>
    <t>α</t>
  </si>
  <si>
    <t>Eigene Eingabe</t>
  </si>
  <si>
    <t>Breite Platte in m</t>
  </si>
  <si>
    <t>Länge Platte in m</t>
  </si>
  <si>
    <t>Profilamplitude α in m</t>
  </si>
  <si>
    <t>Wellenlänge Λ in m</t>
  </si>
  <si>
    <t>Flächenvergrößerungsfaktor</t>
  </si>
  <si>
    <t>Fläche Platte</t>
  </si>
  <si>
    <t>Heizen</t>
  </si>
  <si>
    <t>Kühlen</t>
  </si>
  <si>
    <r>
      <t>ρ</t>
    </r>
    <r>
      <rPr>
        <b/>
        <sz val="11"/>
        <color theme="1"/>
        <rFont val="Calibri"/>
        <family val="2"/>
        <scheme val="minor"/>
      </rPr>
      <t>kg m</t>
    </r>
    <r>
      <rPr>
        <b/>
        <vertAlign val="superscript"/>
        <sz val="11"/>
        <color theme="1"/>
        <rFont val="Calibri"/>
        <family val="2"/>
        <scheme val="minor"/>
      </rPr>
      <t>−3</t>
    </r>
  </si>
  <si>
    <r>
      <t>h</t>
    </r>
    <r>
      <rPr>
        <b/>
        <sz val="11"/>
        <color theme="1"/>
        <rFont val="Calibri"/>
        <family val="2"/>
        <scheme val="minor"/>
      </rPr>
      <t>kJ kg</t>
    </r>
    <r>
      <rPr>
        <b/>
        <vertAlign val="superscript"/>
        <sz val="11"/>
        <color theme="1"/>
        <rFont val="Calibri"/>
        <family val="2"/>
        <scheme val="minor"/>
      </rPr>
      <t>−1</t>
    </r>
  </si>
  <si>
    <r>
      <t>s</t>
    </r>
    <r>
      <rPr>
        <b/>
        <sz val="11"/>
        <color theme="1"/>
        <rFont val="Calibri"/>
        <family val="2"/>
        <scheme val="minor"/>
      </rPr>
      <t>kJ kg</t>
    </r>
    <r>
      <rPr>
        <b/>
        <vertAlign val="superscript"/>
        <sz val="11"/>
        <color theme="1"/>
        <rFont val="Calibri"/>
        <family val="2"/>
        <scheme val="minor"/>
      </rPr>
      <t>−1</t>
    </r>
    <r>
      <rPr>
        <b/>
        <sz val="11"/>
        <color theme="1"/>
        <rFont val="Calibri"/>
        <family val="2"/>
        <scheme val="minor"/>
      </rPr>
      <t xml:space="preserve"> K</t>
    </r>
    <r>
      <rPr>
        <b/>
        <vertAlign val="superscript"/>
        <sz val="11"/>
        <color theme="1"/>
        <rFont val="Calibri"/>
        <family val="2"/>
        <scheme val="minor"/>
      </rPr>
      <t>−1</t>
    </r>
  </si>
  <si>
    <r>
      <t>c</t>
    </r>
    <r>
      <rPr>
        <b/>
        <sz val="11"/>
        <color theme="1"/>
        <rFont val="Calibri"/>
        <family val="2"/>
        <scheme val="minor"/>
      </rPr>
      <t xml:space="preserve"> </t>
    </r>
    <r>
      <rPr>
        <b/>
        <i/>
        <vertAlign val="subscript"/>
        <sz val="11"/>
        <color theme="1"/>
        <rFont val="Calibri"/>
        <family val="2"/>
        <scheme val="minor"/>
      </rPr>
      <t>p</t>
    </r>
    <r>
      <rPr>
        <b/>
        <vertAlign val="subscript"/>
        <sz val="11"/>
        <color theme="1"/>
        <rFont val="Calibri"/>
        <family val="2"/>
        <scheme val="minor"/>
      </rPr>
      <t xml:space="preserve"> </t>
    </r>
    <r>
      <rPr>
        <b/>
        <sz val="11"/>
        <color theme="1"/>
        <rFont val="Calibri"/>
        <family val="2"/>
        <scheme val="minor"/>
      </rPr>
      <t>kJ kg</t>
    </r>
    <r>
      <rPr>
        <b/>
        <vertAlign val="superscript"/>
        <sz val="11"/>
        <color theme="1"/>
        <rFont val="Calibri"/>
        <family val="2"/>
        <scheme val="minor"/>
      </rPr>
      <t>−1</t>
    </r>
    <r>
      <rPr>
        <b/>
        <sz val="11"/>
        <color theme="1"/>
        <rFont val="Calibri"/>
        <family val="2"/>
        <scheme val="minor"/>
      </rPr>
      <t xml:space="preserve"> K</t>
    </r>
    <r>
      <rPr>
        <b/>
        <vertAlign val="superscript"/>
        <sz val="11"/>
        <color theme="1"/>
        <rFont val="Calibri"/>
        <family val="2"/>
        <scheme val="minor"/>
      </rPr>
      <t>−1</t>
    </r>
  </si>
  <si>
    <r>
      <t>v</t>
    </r>
    <r>
      <rPr>
        <b/>
        <vertAlign val="subscript"/>
        <sz val="11"/>
        <color theme="1"/>
        <rFont val="Calibri"/>
        <family val="2"/>
        <scheme val="minor"/>
      </rPr>
      <t xml:space="preserve"> </t>
    </r>
    <r>
      <rPr>
        <b/>
        <sz val="11"/>
        <color theme="1"/>
        <rFont val="Calibri"/>
        <family val="2"/>
        <scheme val="minor"/>
      </rPr>
      <t>10</t>
    </r>
    <r>
      <rPr>
        <b/>
        <vertAlign val="superscript"/>
        <sz val="11"/>
        <color theme="1"/>
        <rFont val="Calibri"/>
        <family val="2"/>
        <scheme val="minor"/>
      </rPr>
      <t>−3</t>
    </r>
    <r>
      <rPr>
        <b/>
        <sz val="11"/>
        <color theme="1"/>
        <rFont val="Calibri"/>
        <family val="2"/>
        <scheme val="minor"/>
      </rPr>
      <t xml:space="preserve"> K</t>
    </r>
    <r>
      <rPr>
        <b/>
        <vertAlign val="superscript"/>
        <sz val="11"/>
        <color theme="1"/>
        <rFont val="Calibri"/>
        <family val="2"/>
        <scheme val="minor"/>
      </rPr>
      <t>−1</t>
    </r>
  </si>
  <si>
    <r>
      <t>λ</t>
    </r>
    <r>
      <rPr>
        <b/>
        <sz val="11"/>
        <color theme="1"/>
        <rFont val="Calibri"/>
        <family val="2"/>
        <scheme val="minor"/>
      </rPr>
      <t>10</t>
    </r>
    <r>
      <rPr>
        <b/>
        <vertAlign val="superscript"/>
        <sz val="11"/>
        <color theme="1"/>
        <rFont val="Calibri"/>
        <family val="2"/>
        <scheme val="minor"/>
      </rPr>
      <t>−3</t>
    </r>
    <r>
      <rPr>
        <b/>
        <sz val="11"/>
        <color theme="1"/>
        <rFont val="Calibri"/>
        <family val="2"/>
        <scheme val="minor"/>
      </rPr>
      <t xml:space="preserve"> W m</t>
    </r>
    <r>
      <rPr>
        <b/>
        <vertAlign val="superscript"/>
        <sz val="11"/>
        <color theme="1"/>
        <rFont val="Calibri"/>
        <family val="2"/>
        <scheme val="minor"/>
      </rPr>
      <t>−1</t>
    </r>
    <r>
      <rPr>
        <b/>
        <sz val="11"/>
        <color theme="1"/>
        <rFont val="Calibri"/>
        <family val="2"/>
        <scheme val="minor"/>
      </rPr>
      <t xml:space="preserve"> K</t>
    </r>
    <r>
      <rPr>
        <b/>
        <vertAlign val="superscript"/>
        <sz val="11"/>
        <color theme="1"/>
        <rFont val="Calibri"/>
        <family val="2"/>
        <scheme val="minor"/>
      </rPr>
      <t>−1</t>
    </r>
  </si>
  <si>
    <r>
      <t>η</t>
    </r>
    <r>
      <rPr>
        <b/>
        <sz val="11"/>
        <color theme="1"/>
        <rFont val="Calibri"/>
        <family val="2"/>
        <scheme val="minor"/>
      </rPr>
      <t>10</t>
    </r>
    <r>
      <rPr>
        <b/>
        <vertAlign val="superscript"/>
        <sz val="11"/>
        <color theme="1"/>
        <rFont val="Calibri"/>
        <family val="2"/>
        <scheme val="minor"/>
      </rPr>
      <t>−6</t>
    </r>
    <r>
      <rPr>
        <b/>
        <sz val="11"/>
        <color theme="1"/>
        <rFont val="Calibri"/>
        <family val="2"/>
        <scheme val="minor"/>
      </rPr>
      <t xml:space="preserve"> Pa s</t>
    </r>
  </si>
  <si>
    <r>
      <t>ν</t>
    </r>
    <r>
      <rPr>
        <b/>
        <sz val="11"/>
        <color theme="1"/>
        <rFont val="Calibri"/>
        <family val="2"/>
        <scheme val="minor"/>
      </rPr>
      <t>10</t>
    </r>
    <r>
      <rPr>
        <b/>
        <vertAlign val="superscript"/>
        <sz val="11"/>
        <color theme="1"/>
        <rFont val="Calibri"/>
        <family val="2"/>
        <scheme val="minor"/>
      </rPr>
      <t>−6</t>
    </r>
    <r>
      <rPr>
        <b/>
        <sz val="11"/>
        <color theme="1"/>
        <rFont val="Calibri"/>
        <family val="2"/>
        <scheme val="minor"/>
      </rPr>
      <t xml:space="preserve"> m</t>
    </r>
    <r>
      <rPr>
        <b/>
        <vertAlign val="superscript"/>
        <sz val="11"/>
        <color theme="1"/>
        <rFont val="Calibri"/>
        <family val="2"/>
        <scheme val="minor"/>
      </rPr>
      <t>2</t>
    </r>
    <r>
      <rPr>
        <b/>
        <sz val="11"/>
        <color theme="1"/>
        <rFont val="Calibri"/>
        <family val="2"/>
        <scheme val="minor"/>
      </rPr>
      <t xml:space="preserve"> s</t>
    </r>
    <r>
      <rPr>
        <b/>
        <vertAlign val="superscript"/>
        <sz val="11"/>
        <color theme="1"/>
        <rFont val="Calibri"/>
        <family val="2"/>
        <scheme val="minor"/>
      </rPr>
      <t>−1</t>
    </r>
  </si>
  <si>
    <r>
      <t>a</t>
    </r>
    <r>
      <rPr>
        <b/>
        <sz val="11"/>
        <color theme="1"/>
        <rFont val="Calibri"/>
        <family val="2"/>
        <scheme val="minor"/>
      </rPr>
      <t>10</t>
    </r>
    <r>
      <rPr>
        <b/>
        <vertAlign val="superscript"/>
        <sz val="11"/>
        <color theme="1"/>
        <rFont val="Calibri"/>
        <family val="2"/>
        <scheme val="minor"/>
      </rPr>
      <t>−6</t>
    </r>
    <r>
      <rPr>
        <b/>
        <sz val="11"/>
        <color theme="1"/>
        <rFont val="Calibri"/>
        <family val="2"/>
        <scheme val="minor"/>
      </rPr>
      <t xml:space="preserve"> m</t>
    </r>
    <r>
      <rPr>
        <b/>
        <vertAlign val="superscript"/>
        <sz val="11"/>
        <color theme="1"/>
        <rFont val="Calibri"/>
        <family val="2"/>
        <scheme val="minor"/>
      </rPr>
      <t>2</t>
    </r>
    <r>
      <rPr>
        <b/>
        <sz val="11"/>
        <color theme="1"/>
        <rFont val="Calibri"/>
        <family val="2"/>
        <scheme val="minor"/>
      </rPr>
      <t xml:space="preserve"> s</t>
    </r>
    <r>
      <rPr>
        <b/>
        <vertAlign val="superscript"/>
        <sz val="11"/>
        <color theme="1"/>
        <rFont val="Calibri"/>
        <family val="2"/>
        <scheme val="minor"/>
      </rPr>
      <t>−1</t>
    </r>
  </si>
  <si>
    <t>Pr−</t>
  </si>
  <si>
    <t>–0,00015</t>
  </si>
  <si>
    <t>  4,219</t>
  </si>
  <si>
    <t>–0,0677</t>
  </si>
  <si>
    <t>    555,65</t>
  </si>
  <si>
    <t>  1,792</t>
  </si>
  <si>
    <t>  0,1317</t>
  </si>
  <si>
    <t>–0,0497</t>
  </si>
  <si>
    <t>–0,0324</t>
  </si>
  <si>
    <t>–0,0156</t>
  </si>
  <si>
    <t>ρkg m−3</t>
  </si>
  <si>
    <t>hkJ kg−1</t>
  </si>
  <si>
    <t>skJ kg−1 K−1</t>
  </si>
  <si>
    <t>c p kJ kg−1 K−1</t>
  </si>
  <si>
    <t>v 10−3 K−1</t>
  </si>
  <si>
    <t>λ10−3 W m−1 K−1</t>
  </si>
  <si>
    <t>η10−6 Pa s</t>
  </si>
  <si>
    <t>ν10−6 m2 s−1</t>
  </si>
  <si>
    <t>a10−6 m2 s−1</t>
  </si>
  <si>
    <t>m_gw,wü in kg/s</t>
  </si>
  <si>
    <t>V_gw,wü in m³/h</t>
  </si>
  <si>
    <t>ρ_gw in kg/m³</t>
  </si>
  <si>
    <t>t_gw,wü,ein in °C</t>
  </si>
  <si>
    <t>t_gw,wü,aus in °C</t>
  </si>
  <si>
    <t>t_gw,zk,ein in °C</t>
  </si>
  <si>
    <t>t_gw,zk,aus in °C</t>
  </si>
  <si>
    <t>Q_gw,wü in W</t>
  </si>
  <si>
    <t>c_p,gw in J/kgK</t>
  </si>
  <si>
    <t>Auslegungswert</t>
  </si>
  <si>
    <t>m_zk,wü in kg/s</t>
  </si>
  <si>
    <t>ρ_zk in kg/m³</t>
  </si>
  <si>
    <t>c_p,zk in J/kgK</t>
  </si>
  <si>
    <t>Δt_log</t>
  </si>
  <si>
    <t>k in W/m²K</t>
  </si>
  <si>
    <t>Spaltdicke</t>
  </si>
  <si>
    <t>A_sp</t>
  </si>
  <si>
    <t>A_wü</t>
  </si>
  <si>
    <t>Anzahl Spalte</t>
  </si>
  <si>
    <t>w_gw</t>
  </si>
  <si>
    <t>LängePlatte in m</t>
  </si>
  <si>
    <t>Wärmeübertrager gegeben</t>
  </si>
  <si>
    <t>w_gw in m/s</t>
  </si>
  <si>
    <t>VDI-Wärmeatlas</t>
  </si>
  <si>
    <t>Zusatzfläche in %</t>
  </si>
  <si>
    <t>Fläche A_wü,notwendig in m²</t>
  </si>
  <si>
    <t>Fläche A_wü,ausgelegt in m²</t>
  </si>
  <si>
    <t>Anzahl Platten</t>
  </si>
  <si>
    <t>Anzahl Platten Rechenwert#</t>
  </si>
  <si>
    <t>Normieren auf 10 Punkte</t>
  </si>
  <si>
    <t>Wärmeübertrager nicht gegeben</t>
  </si>
  <si>
    <t>Wärmeübertrager vorhanden?</t>
  </si>
  <si>
    <t>Rechenwerte Wärmeübertrager</t>
  </si>
  <si>
    <t>Wärmeübertrager</t>
  </si>
  <si>
    <t>Ausgabe Geschwindigkeit</t>
  </si>
  <si>
    <t>Technische Parameter</t>
  </si>
  <si>
    <t>Drop-Down-Menü Redoxpotenzial</t>
  </si>
  <si>
    <t>Eh (Redoxpotenzial auf Wasserstoff=0 bezogen)</t>
  </si>
  <si>
    <t>U (Redoxspannung gemessen)</t>
  </si>
  <si>
    <t>pε (Konzentration redoxwirksame Spezies)</t>
  </si>
  <si>
    <t>Keine Bewertung, Eingangswert für die Berechnung der Wichtung</t>
  </si>
  <si>
    <t>Ausgewählt wurde:</t>
  </si>
  <si>
    <t>Wassertemperatur</t>
  </si>
  <si>
    <t>Quecksilber Kalomel KCI_ges in mV</t>
  </si>
  <si>
    <t>aus: B. Hölting und W. G. Coldewey. Hydrogeologie. Heidelberg: Spektrum Akademischer
Verlag, 2013. ISBN: 978-3-8274-2353-5. DOI: 10.1007/978-3-8274-2354-2.</t>
  </si>
  <si>
    <t>Bezugswert</t>
  </si>
  <si>
    <t>E_(25°C)</t>
  </si>
  <si>
    <t>E_H</t>
  </si>
  <si>
    <t>Wichtung gewünscht?</t>
  </si>
  <si>
    <t>Für die Bewertung der Stoffkonzentrationen ist es möglich über eine unterstützende PHREEQC-Modellierung eine Wichtung zu berechnen. Ein Beispielskript für die Modellierung ist im Blatt "Beispielskript Modellierung" hinterlegt</t>
  </si>
  <si>
    <t>Maximale Punktzahl</t>
  </si>
  <si>
    <t>Grenzwerte</t>
  </si>
  <si>
    <t>Rechenpunkte</t>
  </si>
  <si>
    <t>Punkteausgabe</t>
  </si>
  <si>
    <t>Eingabewert</t>
  </si>
  <si>
    <t>Überschreitung Grenzwert</t>
  </si>
  <si>
    <t>Obere Grenze</t>
  </si>
  <si>
    <t>Untere Grenze</t>
  </si>
  <si>
    <t>Starttemperatur</t>
  </si>
  <si>
    <t>Temperatur Heizen</t>
  </si>
  <si>
    <t>Temperatur Kühlen</t>
  </si>
  <si>
    <t>Alfa Laval AQ1</t>
  </si>
  <si>
    <t>alfa-laval-aq1-product-leaflet-de.pdf (alfalaval.com)</t>
  </si>
  <si>
    <t>Alfa Laval AQ1 A</t>
  </si>
  <si>
    <t>Alfa Laval AQ1L</t>
  </si>
  <si>
    <t>alfa-laval-aq1l-product-leaflet-de.pdf (alfalaval.com)</t>
  </si>
  <si>
    <t>alfa-laval-aq1a-product-leaflet-de.pdf (alfalaval.com)</t>
  </si>
  <si>
    <t>Alfa Laval Base 11</t>
  </si>
  <si>
    <t>Alfa Laval Front 15</t>
  </si>
  <si>
    <t>alfa-laval-base-11-product-leaflet-de.pdf (alfalaval.com)</t>
  </si>
  <si>
    <t>Alfa Laval Base 3</t>
  </si>
  <si>
    <t>Alfa Laval Base 6</t>
  </si>
  <si>
    <t>Alfa Laval Base 10</t>
  </si>
  <si>
    <t>alfa-laval-base-3-product-leaflet-de.pdf (alfalaval.com)</t>
  </si>
  <si>
    <t>alfa-laval-base-6-product-leaflet-de.pdf (alfalaval.com)</t>
  </si>
  <si>
    <t>alfa-laval-base-10-product-leaflet-de.pdf (alfalaval.com)</t>
  </si>
  <si>
    <t>Alfa Laval Front 6</t>
  </si>
  <si>
    <t>alfa-laval-front-6-product-leaflet-de.pdf (alfalaval.com)</t>
  </si>
  <si>
    <t>Alfa Laval Front 8</t>
  </si>
  <si>
    <t>alfa-laval-front-8-product-leaflet-de.pdf (alfalaval.com)</t>
  </si>
  <si>
    <t>Alfa Laval Front 10</t>
  </si>
  <si>
    <t>alfa-laval-front-10-product-leaflet-de.pdf (alfalaval.com)</t>
  </si>
  <si>
    <t>alfa-laval-front-15-product-leaflet-de.pdf (alfalaval.com)</t>
  </si>
  <si>
    <t>Alfa Laval HL8 WideGAP</t>
  </si>
  <si>
    <t>alfa-laval-hl8-wg-product-leaflet-de-de.pdf (alfalaval.com)</t>
  </si>
  <si>
    <t>Alfa Laval HL12</t>
  </si>
  <si>
    <t>alfa-laval-hl12-product-leaflet-de-de.pdf (alfalaval.com)</t>
  </si>
  <si>
    <t>Alfa Laval HL8</t>
  </si>
  <si>
    <t>Alfa Laval HL4</t>
  </si>
  <si>
    <t>alfa-laval-hl8-product-leaflet-de-de.pdf (alfalaval.com)</t>
  </si>
  <si>
    <t>alfa-laval-h4-product-leaflet-de.pdf (alfalaval.com)</t>
  </si>
  <si>
    <t>Berechnung des Partialdruck</t>
  </si>
  <si>
    <t>Eingabewert Sauerstoffmenge</t>
  </si>
  <si>
    <t>Umrechnung in Konzentration n</t>
  </si>
  <si>
    <t>mol/l</t>
  </si>
  <si>
    <t>mol/m³</t>
  </si>
  <si>
    <t>mol/m³Pa</t>
  </si>
  <si>
    <t>Mittelwert nach R. Sander: Compilation of Henry’s law constants, https://doi.org/10.5194/acp-23-10901-2023</t>
  </si>
  <si>
    <t>Henry-Konstante H_s bei Referenztemperatur</t>
  </si>
  <si>
    <t>Temperaturänderungskonstante C</t>
  </si>
  <si>
    <t>Henry-Konstante H_s bei t_gw</t>
  </si>
  <si>
    <t>Henry-Konstante H_s bei t_gw,h</t>
  </si>
  <si>
    <t>Henry-Konstante H_s bei t_gw,k</t>
  </si>
  <si>
    <t>Partialdruck Sauerstoff bei t_gw</t>
  </si>
  <si>
    <t>Partialdruck Sauerstoff bei t_gw,h</t>
  </si>
  <si>
    <t>Partialdruck Sauerstoff bei t_gw,k</t>
  </si>
  <si>
    <t>Pa</t>
  </si>
  <si>
    <t>bar</t>
  </si>
  <si>
    <t>Maximalwert Sauerstoffmenge</t>
  </si>
  <si>
    <t>Partialdruck bei Eingabewerten</t>
  </si>
  <si>
    <t>Partialdruck bei Maximaler Löslichkeit</t>
  </si>
  <si>
    <t>atm</t>
  </si>
  <si>
    <t>Eingabewert PHREEQC: Partialdruck Sauerstoff</t>
  </si>
  <si>
    <t>Eingabewert PHREEQC:  pε</t>
  </si>
  <si>
    <t>Starttenperatur</t>
  </si>
  <si>
    <t>0 bis</t>
  </si>
  <si>
    <t>Hier die Ergebnisse aus der Output-Datei der PHREEQC-Modellierung eintragen:</t>
  </si>
  <si>
    <t>si_Pyrolusite</t>
  </si>
  <si>
    <t>si_Birnessite</t>
  </si>
  <si>
    <t>si_Hausmannite</t>
  </si>
  <si>
    <t>si_Manganite</t>
  </si>
  <si>
    <t>si_Magnetite</t>
  </si>
  <si>
    <t>si_Maghemite</t>
  </si>
  <si>
    <t>si_Scorodite</t>
  </si>
  <si>
    <t>si_Arsenolite</t>
  </si>
  <si>
    <t>si_Claudetite</t>
  </si>
  <si>
    <t xml:space="preserve">  si_Nsutite</t>
  </si>
  <si>
    <t xml:space="preserve"> si_Bixbyite</t>
  </si>
  <si>
    <t xml:space="preserve"> si_Hematite</t>
  </si>
  <si>
    <t xml:space="preserve"> si_Goethite</t>
  </si>
  <si>
    <t xml:space="preserve"> si_Fe3(OH)8</t>
  </si>
  <si>
    <t xml:space="preserve"> si_Gibbsite</t>
  </si>
  <si>
    <t xml:space="preserve"> si_Diaspore</t>
  </si>
  <si>
    <t xml:space="preserve"> si_Boehmite</t>
  </si>
  <si>
    <t>si_AlAsO4:2H2O</t>
  </si>
  <si>
    <t>si_Zincite(c)</t>
  </si>
  <si>
    <t>si_Zn3(AsO4)2:2.5w</t>
  </si>
  <si>
    <t>si_Zn(OH)2-a</t>
  </si>
  <si>
    <t>si_As2O5(cr)</t>
  </si>
  <si>
    <t>reaction</t>
  </si>
  <si>
    <t>Startwerte</t>
  </si>
  <si>
    <t>Boehimt</t>
  </si>
  <si>
    <t>Diaspor</t>
  </si>
  <si>
    <t>Gibbsit</t>
  </si>
  <si>
    <t>Mansfieldit</t>
  </si>
  <si>
    <t>Scorodit</t>
  </si>
  <si>
    <t>Arsenic pentoxide</t>
  </si>
  <si>
    <t>Arsenolith</t>
  </si>
  <si>
    <t>Caludetit</t>
  </si>
  <si>
    <t>Davidlloydit</t>
  </si>
  <si>
    <t>si_Fe(OH)3(a)</t>
  </si>
  <si>
    <t>Eisen-(III)-Hydroxid</t>
  </si>
  <si>
    <t>Fe_3(OH)_8</t>
  </si>
  <si>
    <t>Goethit</t>
  </si>
  <si>
    <t>Hämatit</t>
  </si>
  <si>
    <t>Maghemit</t>
  </si>
  <si>
    <t>Magnetit</t>
  </si>
  <si>
    <t>Scordit</t>
  </si>
  <si>
    <t>Birnessit</t>
  </si>
  <si>
    <t>Bixbyit</t>
  </si>
  <si>
    <t>Hausmannit</t>
  </si>
  <si>
    <t>Manganit</t>
  </si>
  <si>
    <t>Nsutit</t>
  </si>
  <si>
    <t>Pyrolusit</t>
  </si>
  <si>
    <t>Zinkit</t>
  </si>
  <si>
    <t>Zinkhydroxid</t>
  </si>
  <si>
    <t>Mittelwert</t>
  </si>
  <si>
    <t>Über 0?</t>
  </si>
  <si>
    <t>Mittelwert SI_i</t>
  </si>
  <si>
    <t>Wichtungsfaktor</t>
  </si>
  <si>
    <t>Summe</t>
  </si>
  <si>
    <t>Prozentualer Anteil Punkte</t>
  </si>
  <si>
    <t>Gewichtete Punkte normiert auf 10</t>
  </si>
  <si>
    <t>Max  Gewichtete Punkte</t>
  </si>
  <si>
    <t>Anteil an Gesamtpunkten</t>
  </si>
  <si>
    <t>SOLUTION 1</t>
  </si>
  <si>
    <t>temp 29.00 #Grubenwassertemperatur --&gt; Ändern für Heizenmodus/Kühlmodus</t>
  </si>
  <si>
    <t>pH 6.38</t>
  </si>
  <si>
    <t>pe 9.71 # Konzentration redoxwirksame Spezies --&gt; Ändern für Heizenmodus/Kühlmodus</t>
  </si>
  <si>
    <t>Mn 0.240</t>
  </si>
  <si>
    <t>Fe 4.46</t>
  </si>
  <si>
    <t>Al 0.03</t>
  </si>
  <si>
    <t>Zn 0.013</t>
  </si>
  <si>
    <t>As 0.021</t>
  </si>
  <si>
    <t>#ab hier können weitere Elementkonzentrationen eingetragen werden</t>
  </si>
  <si>
    <t>K 13.09</t>
  </si>
  <si>
    <t>Si 16.45</t>
  </si>
  <si>
    <t>Ca 39.96</t>
  </si>
  <si>
    <t>Na 100.11</t>
  </si>
  <si>
    <t>Mg 14.26</t>
  </si>
  <si>
    <t>Ni 0.01</t>
  </si>
  <si>
    <t>Pb 0.04</t>
  </si>
  <si>
    <t>Cd 0.01</t>
  </si>
  <si>
    <t>-water 1</t>
  </si>
  <si>
    <t>GAS_PHASE</t>
  </si>
  <si>
    <t>-pressure 1.01325 #Umgebungsdruck</t>
  </si>
  <si>
    <t>USE SOLUTION 1</t>
  </si>
  <si>
    <t>USE GAS_PHASE</t>
  </si>
  <si>
    <t>SELECTED_OUTPUT</t>
  </si>
  <si>
    <t>-saturation_indices Fe(OH)3(a)</t>
  </si>
  <si>
    <t>-saturation_indices Fe3(OH)8</t>
  </si>
  <si>
    <t>-saturation_indices AlAsO4:2H2O</t>
  </si>
  <si>
    <t>-saturation_indices Zincite(c)</t>
  </si>
  <si>
    <t>-saturation_indices Zn3(AsO4)2:2.5w</t>
  </si>
  <si>
    <t>-saturation_indices Zn(OH)2-a</t>
  </si>
  <si>
    <t>-fixed_volume true</t>
  </si>
  <si>
    <t>-reset false</t>
  </si>
  <si>
    <t>-reaction true</t>
  </si>
  <si>
    <t>-saturation_indices Pyrolusite</t>
  </si>
  <si>
    <t>-saturation_indices Nsutite</t>
  </si>
  <si>
    <t>-saturation_indices Birnessite</t>
  </si>
  <si>
    <t>-saturation_indices Bixbyite</t>
  </si>
  <si>
    <t>-saturation_indices Hausmannite</t>
  </si>
  <si>
    <t>-saturation_indices Manganite</t>
  </si>
  <si>
    <t>-saturation_indices Magnetite</t>
  </si>
  <si>
    <t>-saturation_indices Hematite</t>
  </si>
  <si>
    <t>-saturation_indices Maghemite</t>
  </si>
  <si>
    <t>-saturation_indices Scorodite</t>
  </si>
  <si>
    <t>-saturation_indices Goethite</t>
  </si>
  <si>
    <t>-saturation_indices Gibbsite</t>
  </si>
  <si>
    <t>-saturation_indices Diaspore</t>
  </si>
  <si>
    <t>-saturation_indices Boehmite</t>
  </si>
  <si>
    <t>-saturation_indices Arsenolite</t>
  </si>
  <si>
    <t>-saturation_indices Claudetite</t>
  </si>
  <si>
    <t>-saturation_indices As2O5(cr)</t>
  </si>
  <si>
    <t>-file Link-Zieldatei</t>
  </si>
  <si>
    <t>Modellierung 1</t>
  </si>
  <si>
    <t>Modellierung 2</t>
  </si>
  <si>
    <t>Modellierung 3</t>
  </si>
  <si>
    <t>pε</t>
  </si>
  <si>
    <t>Partialdruck Sauerstoff</t>
  </si>
  <si>
    <t>Eingabewerte PHREEQC-Modellierung</t>
  </si>
  <si>
    <t>Beispielskript</t>
  </si>
  <si>
    <t>O2(g) 0.220143907 #Partialdruck Sauerstoff --&gt; Ändern für Heizmodus/Kühlmodus</t>
  </si>
  <si>
    <t>Organische Bestandteile</t>
  </si>
  <si>
    <t>DOC</t>
  </si>
  <si>
    <t>Rahmenpunkte ⭢ 5 Pkt.</t>
  </si>
  <si>
    <t>Nitrat</t>
  </si>
  <si>
    <t>Phosphat</t>
  </si>
  <si>
    <t>mg/l</t>
  </si>
  <si>
    <t>Bakterientests</t>
  </si>
  <si>
    <t>P.aeruginosa</t>
  </si>
  <si>
    <t>Bakterientest allgemein</t>
  </si>
  <si>
    <t>Keine</t>
  </si>
  <si>
    <t>Sehr hoch (≥10^6 CFU/ml)</t>
  </si>
  <si>
    <t>Moderat (≥10^4 &lt;10^6 CFU/ml)</t>
  </si>
  <si>
    <t>Niedrig  (≥0 &lt;10^4 CFU/ml)</t>
  </si>
  <si>
    <t>Tests negativ</t>
  </si>
  <si>
    <t>Kein Test durchgeführt</t>
  </si>
  <si>
    <t>Eisenreduzierende Bakterien</t>
  </si>
  <si>
    <t>Sulfatreduzierende Bakterien</t>
  </si>
  <si>
    <t>Schleimbildende Bakterien</t>
  </si>
  <si>
    <t>Schleimbildende Bakterien allgemein</t>
  </si>
  <si>
    <t>Auswahl-möglichkeiten</t>
  </si>
  <si>
    <t>Mögliche Punkte</t>
  </si>
  <si>
    <t>Summenberechnung</t>
  </si>
  <si>
    <t>Prozentualer Anteil</t>
  </si>
  <si>
    <t>Anorganische Nährstoffe</t>
  </si>
  <si>
    <t>Summenparameter</t>
  </si>
  <si>
    <t>Elementgehalte</t>
  </si>
  <si>
    <t>Coliforme Bakterien</t>
  </si>
  <si>
    <t>U</t>
  </si>
  <si>
    <t>PCB</t>
  </si>
  <si>
    <t>Energiequelle Grubenwasser</t>
  </si>
  <si>
    <t>Rahmenpunkte ⭢ 10 Pkt.</t>
  </si>
  <si>
    <t>Bohrtiefe</t>
  </si>
  <si>
    <t>Rahmenpunkte ⭢ 7,5 Pkt.</t>
  </si>
  <si>
    <t>Rahmenpunkte ⭢ 2,5 Pkt.</t>
  </si>
  <si>
    <t>Abnehmerstruktur</t>
  </si>
  <si>
    <t>Belegungsdichte Nahwärmenetz</t>
  </si>
  <si>
    <t>Rahmenpunkte ⭢ 0 Pkt.</t>
  </si>
  <si>
    <t>Strompreis</t>
  </si>
  <si>
    <t>Vergleichender Energieträger</t>
  </si>
  <si>
    <t>Amortisationsdauer</t>
  </si>
  <si>
    <t>Energiepreis</t>
  </si>
  <si>
    <t>Drop-Down-Menü Vergleichende Energieträger</t>
  </si>
  <si>
    <t>Erdgas</t>
  </si>
  <si>
    <t>Heizöl</t>
  </si>
  <si>
    <t>Fernwärme</t>
  </si>
  <si>
    <t>Pellets</t>
  </si>
  <si>
    <t>Strom</t>
  </si>
  <si>
    <t>Übernahme aus Technischen Parametern</t>
  </si>
  <si>
    <t>Wert</t>
  </si>
  <si>
    <t>Wirtschaftlichkeit</t>
  </si>
  <si>
    <t>https://www.entega.de/blog/was-kostet-eine-kilowattstunde-strom/</t>
  </si>
  <si>
    <t>https://www.oekofen.com/de-de/aktueller-pelletspreis/</t>
  </si>
  <si>
    <t>https://www.co2online.de/modernisieren-und-bauen/heizung/fernwaerme/</t>
  </si>
  <si>
    <t>https://de.statista.com/statistik/daten/studie/2633/umfrage/entwicklung-des-verbraucherpreises-fuer-leichtes-heizoel-seit-1960/</t>
  </si>
  <si>
    <t>https://www.bundesnetzagentur.de/DE/Gasversorgung/aktuelle_gasversorgung/_svg/Gaspreise/Gaspreise.html</t>
  </si>
  <si>
    <t>Wärmemenge pro Jahr</t>
  </si>
  <si>
    <t>Leistung Heizen</t>
  </si>
  <si>
    <t>Leistung Kühlen</t>
  </si>
  <si>
    <t>Volllaststunden Heizen</t>
  </si>
  <si>
    <t>Volllaststunden Kühlen</t>
  </si>
  <si>
    <t>Anlagenleistung Kühlen</t>
  </si>
  <si>
    <t>Anlagenleistung Heizen</t>
  </si>
  <si>
    <t>Kosten</t>
  </si>
  <si>
    <t>von</t>
  </si>
  <si>
    <t>CO2-Äquivalent</t>
  </si>
  <si>
    <t>Zu erwartendes dominante Foulingart:</t>
  </si>
  <si>
    <t>Zu erwartende dominante Mikroorganismen:</t>
  </si>
  <si>
    <t>Gesamtbewertung</t>
  </si>
  <si>
    <t>Cadmium</t>
  </si>
  <si>
    <t>Blei</t>
  </si>
  <si>
    <t>Redox-Potenzial</t>
  </si>
  <si>
    <t>Elektronenakzeptor (O2)</t>
  </si>
  <si>
    <t>Elektronendonor</t>
  </si>
  <si>
    <t>Verfügbare Energie</t>
  </si>
  <si>
    <t>E-H_Ausgabe_Bio</t>
  </si>
  <si>
    <t>Schwefel</t>
  </si>
  <si>
    <t>Ungenauigkeiten</t>
  </si>
  <si>
    <t xml:space="preserve">Fehler: </t>
  </si>
  <si>
    <t>Max</t>
  </si>
  <si>
    <t>Min</t>
  </si>
  <si>
    <t>1 mV</t>
  </si>
  <si>
    <t>Fehler ohne Wichtung</t>
  </si>
  <si>
    <t>Fehler Simulation und Auswahl Wichtung</t>
  </si>
  <si>
    <t>Anzahl Faktoren</t>
  </si>
  <si>
    <t>Unsicherheit</t>
  </si>
  <si>
    <t>Messung</t>
  </si>
  <si>
    <t>Standort:</t>
  </si>
  <si>
    <t>Absolute Bewertung:</t>
  </si>
  <si>
    <t>Relative Bewertung:</t>
  </si>
  <si>
    <t>Bewertung Kategorien</t>
  </si>
  <si>
    <t>Relative Bewertung</t>
  </si>
  <si>
    <t>Minimum</t>
  </si>
  <si>
    <t>Maximum</t>
  </si>
  <si>
    <t>bis</t>
  </si>
  <si>
    <t>Änderungen Wärmestrom Wärmeübertrager</t>
  </si>
  <si>
    <t>Mittelkurve</t>
  </si>
  <si>
    <t>Untere Kurve</t>
  </si>
  <si>
    <t>Obere Kurve</t>
  </si>
  <si>
    <t>m</t>
  </si>
  <si>
    <t>a</t>
  </si>
  <si>
    <t>Bewertung</t>
  </si>
  <si>
    <t>Nutzbare Energie</t>
  </si>
  <si>
    <t>Potenzielle Wärmemenge pro Jahr</t>
  </si>
  <si>
    <r>
      <t>Potenzielle Kosten- und CO</t>
    </r>
    <r>
      <rPr>
        <vertAlign val="subscript"/>
        <sz val="10"/>
        <rFont val="Arial"/>
        <family val="2"/>
      </rPr>
      <t>2</t>
    </r>
    <r>
      <rPr>
        <sz val="10"/>
        <rFont val="Arial"/>
        <family val="2"/>
      </rPr>
      <t>-Reduktion im Vergleich zu:</t>
    </r>
  </si>
  <si>
    <t>Potenzielle Kosteneinsparung pro Jahr:</t>
  </si>
  <si>
    <t>P_el</t>
  </si>
  <si>
    <t>P_el_H</t>
  </si>
  <si>
    <t>P_el_K</t>
  </si>
  <si>
    <t>Kosten ohne GW_h</t>
  </si>
  <si>
    <t>Kosten ohne GW_k</t>
  </si>
  <si>
    <t>Kosten mit GW_h</t>
  </si>
  <si>
    <t>Kosten mit GW_k</t>
  </si>
  <si>
    <t>EER Kälteanlage normal</t>
  </si>
  <si>
    <t>Aktives Kühlen über die Wärmepumpe?</t>
  </si>
  <si>
    <t>EER Grubenwasser passiv</t>
  </si>
  <si>
    <t>Irgendwas von Oppelt zitieren ;-)</t>
  </si>
  <si>
    <t>aktiv</t>
  </si>
  <si>
    <t>passiv</t>
  </si>
  <si>
    <t>CO_2-Emissionen</t>
  </si>
  <si>
    <t>kg/kwh</t>
  </si>
  <si>
    <t>CO_2 ohne GW_h</t>
  </si>
  <si>
    <t>CO_2 ohne GW_k</t>
  </si>
  <si>
    <t>CO_2 mit GW_h</t>
  </si>
  <si>
    <t>CO_2 mit GW_k</t>
  </si>
  <si>
    <t>Nutzungsdauer pro Tag:</t>
  </si>
  <si>
    <t>Nutzungsdauer in Monaten:</t>
  </si>
  <si>
    <t>Prognose Reduktion Wärmestrom bei gewählter Betriebszeit</t>
  </si>
  <si>
    <t>Empfehlung zu Reinigungsintervall</t>
  </si>
  <si>
    <t>Die Reinigung sollte nach</t>
  </si>
  <si>
    <t>Betriebsstunden erfolgen.</t>
  </si>
  <si>
    <t>Ungefähre Betriebszeit pro Jahr</t>
  </si>
  <si>
    <t>Betriebszeit pro Jahr:</t>
  </si>
  <si>
    <t>Reduktion des Wärmestroms</t>
  </si>
  <si>
    <t>um</t>
  </si>
  <si>
    <t>Prognose</t>
  </si>
  <si>
    <t>Bester Fall:</t>
  </si>
  <si>
    <t>Schlecht-ester Fall:</t>
  </si>
  <si>
    <t>oberer Grenzwert</t>
  </si>
  <si>
    <t>Ausgabe Foulingtool</t>
  </si>
  <si>
    <t>Abb. 1 Relative Bewertung der Kategorien mit den jeweiligen Unsicherheiten</t>
  </si>
  <si>
    <t xml:space="preserve">Abb. 2 Darstellung der Elemente im Grubenwasser nach Puura und D'Alessandro </t>
  </si>
  <si>
    <t>Bester Fall</t>
  </si>
  <si>
    <t>Schlechtester Fall</t>
  </si>
  <si>
    <t>Berechnung Leistung WÜ</t>
  </si>
  <si>
    <t>Wirtschaftlich-keitsbetrachtung durchgeführt?</t>
  </si>
  <si>
    <t>Neg Fehler</t>
  </si>
  <si>
    <t>Pos. Fehler</t>
  </si>
  <si>
    <t>Fehler Unten</t>
  </si>
  <si>
    <t>Fehler Oben</t>
  </si>
  <si>
    <r>
      <t>Pot. Reduktion CO</t>
    </r>
    <r>
      <rPr>
        <vertAlign val="subscript"/>
        <sz val="10"/>
        <rFont val="Arial"/>
        <family val="2"/>
      </rPr>
      <t>2</t>
    </r>
    <r>
      <rPr>
        <sz val="10"/>
        <rFont val="Arial"/>
        <family val="2"/>
        <charset val="1"/>
      </rPr>
      <t>-Emissionen pro Jahr:</t>
    </r>
  </si>
  <si>
    <t>Technisch</t>
  </si>
  <si>
    <r>
      <t>Arbeitszahl Gesamtsystem mit WP Heizen (AZ</t>
    </r>
    <r>
      <rPr>
        <vertAlign val="subscript"/>
        <sz val="10"/>
        <rFont val="Arial"/>
        <family val="2"/>
      </rPr>
      <t>h</t>
    </r>
    <r>
      <rPr>
        <sz val="10"/>
        <rFont val="Arial"/>
        <family val="2"/>
        <charset val="1"/>
      </rPr>
      <t>):</t>
    </r>
  </si>
  <si>
    <r>
      <t>Arbeitszahl Gesamtsystem mit WP Kühlen (AZ</t>
    </r>
    <r>
      <rPr>
        <vertAlign val="subscript"/>
        <sz val="10"/>
        <rFont val="Arial"/>
        <family val="2"/>
      </rPr>
      <t>k</t>
    </r>
    <r>
      <rPr>
        <sz val="10"/>
        <rFont val="Arial"/>
        <family val="2"/>
        <charset val="1"/>
      </rPr>
      <t>):</t>
    </r>
  </si>
  <si>
    <t>https://www.klimaworld.com/blog/seer-scop-wert-klimaanlage</t>
  </si>
  <si>
    <t>Aus technischnen Parametern</t>
  </si>
  <si>
    <t>Anteil</t>
  </si>
  <si>
    <t>Kontaktwinkel</t>
  </si>
  <si>
    <t>Rauigkeit</t>
  </si>
  <si>
    <t>Oberflächenenergie</t>
  </si>
  <si>
    <t>40-60</t>
  </si>
  <si>
    <t>60-80</t>
  </si>
  <si>
    <t>80-100</t>
  </si>
  <si>
    <t>100-120</t>
  </si>
  <si>
    <t>120-140</t>
  </si>
  <si>
    <t>&gt;140</t>
  </si>
  <si>
    <t>0-0,1</t>
  </si>
  <si>
    <t>0,1-0,3</t>
  </si>
  <si>
    <t>0,3-0,6</t>
  </si>
  <si>
    <t>0,6-1</t>
  </si>
  <si>
    <t>1-1,5</t>
  </si>
  <si>
    <t>&gt;1,5</t>
  </si>
  <si>
    <t>0-15</t>
  </si>
  <si>
    <t>15-30</t>
  </si>
  <si>
    <t>30-45</t>
  </si>
  <si>
    <t>45-60</t>
  </si>
  <si>
    <t>60-75</t>
  </si>
  <si>
    <t>&gt;75</t>
  </si>
  <si>
    <t>Rand</t>
  </si>
  <si>
    <t>Unteres Quantil</t>
  </si>
  <si>
    <t>Median</t>
  </si>
  <si>
    <t>Oberes Quantil</t>
  </si>
  <si>
    <t>Kruskal-Wallis-Test</t>
  </si>
  <si>
    <t>St.pr.umfang</t>
  </si>
  <si>
    <t>Mittlerer Rang</t>
  </si>
  <si>
    <t>Teststatistik = 6,81559   p-Wert = 0,14596</t>
  </si>
  <si>
    <t>Teststatistik = 5,19449   p-Wert = 0,392608</t>
  </si>
  <si>
    <t>Teststatistik = 12,2491   p-Wert = 0,0315291</t>
  </si>
  <si>
    <t>Teststatistik = 2,25818   p-Wert = 0,688394</t>
  </si>
  <si>
    <t>Teststatistik = 7,0124   p-Wert = 0,21972</t>
  </si>
  <si>
    <t>Teststatistik = 16,1821   p-Wert = 0,0063431</t>
  </si>
  <si>
    <t>Teststatistik = 1,11921   p-Wert = 0,772437</t>
  </si>
  <si>
    <t>Teststatistik = 1,63413   p-Wert = 0,802645</t>
  </si>
  <si>
    <t>Teststatistik = 16,106   p-Wert = 0,00654788</t>
  </si>
  <si>
    <t>95,0 Prozent Bonferroni-Intervalle</t>
  </si>
  <si>
    <t>Unteres Quantil Bestes</t>
  </si>
  <si>
    <t>Median Bestes</t>
  </si>
  <si>
    <t>Oberes Quantil Beste</t>
  </si>
  <si>
    <t>Durchschnittsrang</t>
  </si>
  <si>
    <t>Rechenwert</t>
  </si>
  <si>
    <t>Rechenwert mit Wichtung</t>
  </si>
  <si>
    <t>Bereinigter Rechenwert</t>
  </si>
  <si>
    <t>SUMME</t>
  </si>
  <si>
    <t>Beschichtung</t>
  </si>
  <si>
    <t>Ra in ym von</t>
  </si>
  <si>
    <t>Ra in ym bis</t>
  </si>
  <si>
    <t>Kontaktwinkel in ° von</t>
  </si>
  <si>
    <t>ytot von</t>
  </si>
  <si>
    <t>Antibakteriell</t>
  </si>
  <si>
    <t>Foulingreduktion</t>
  </si>
  <si>
    <t>Edelstahl</t>
  </si>
  <si>
    <t xml:space="preserve">Zouaghi, S.; Barry, M.E.; Bellayer, S. et al.:  Antifouling amphiphilic silicone coatings for dairy fouling mitigation on stainless steel. In: Biofouling, Vol. 34 (2018), Iss. 7, pp. 769-783. https://doi.org/10.1080/08927014.2018.1502275. </t>
  </si>
  <si>
    <t>Si-PEO</t>
  </si>
  <si>
    <t>NuSil-Si-PEO</t>
  </si>
  <si>
    <t xml:space="preserve">Magens, O.M.; Hofmans, J.F.; Adriaenssens, Y. et al.: Comparison of fouling of 
raw milk and whey protein solution on stainless steel and fluorocarbon coated 
surfaces: Effects on fouling performance, deposit structure and composition. In: 
Chemical  Engineering  Science  195  (2019),  S.  423-432. 
https://doi.org/10.1016/j.ces.2018.09.039. </t>
  </si>
  <si>
    <t>Rungraeng,  N.;  Cho,  Y.-C.;  Yoon,  S.H.  et  al.:  Carbon  nanotube-
polytetrafluoroethylene nanocomposite coating for milk fouling reduction in plate 
heat exchanger. In: Journal of Food Engineering 111 (2012), Heft 2, S. 218-224. 
https://doi.org/10.1016/j.jfoodeng.2012.02.032.</t>
  </si>
  <si>
    <t>PTFE-TiO2</t>
  </si>
  <si>
    <t xml:space="preserve">Bangavadi  Munivenkatappa,  M.;  Franklin,  M.E.E.;  Dhotre,  A.V.  et  al.: 
Mitigation of fouling during milk processing in polytetrafluoroethylene‐titanium dioxide coated plate heat exchanger. In: Journal of Food Process Engineering 45 
(2022), Heft 6. https://doi.org/10.1111/jfpe.13836. </t>
  </si>
  <si>
    <t>CNT-PTFE</t>
  </si>
  <si>
    <t xml:space="preserve">Li, W.; Zhu, L.; Wang, Q. et al.: Analysis of Fouling on Nanocomposite Surfaces 
in Plate Heat Exchangers. In: Journal of Solar Energy Engineering 144 (2022), 
Heft 6. https://doi.org/10.1115/1.4054667. </t>
  </si>
  <si>
    <t xml:space="preserve">ZETTLER, H.U.; WEI, M.; Zhao, Q. et al.: Influence of Surface Properties and 
Characteristics  on  Fouling  in  Plate  Heat  Exchangers.  In:  Heat  Transfer 
Engineering  26  (2005),  Heft  2,  S.  3-17. 
https://doi.org/10.1080/01457630590897024. </t>
  </si>
  <si>
    <t xml:space="preserve">Rosmaninho,  R.;  Visser,  H.;  Melo,  L.:  Influence  of  the  surface  tension 
components of stainless steel on fouling caused by calcium phosphate. In: Miguel, 
M.;  Burrows,  H.D.  (Hrsg.):  Trends  in  Colloid  and  Interface  Science  XVI. 
Springer Berlin Heidelberg, Berlin, Heidelberg, 2004, S. 203-209. </t>
  </si>
  <si>
    <t xml:space="preserve">Rosmaninho, R.; Melo, L.F.: Protein–calcium phosphate interactions in fouling 
of  modified  stainless-steel  surfaces  by  simulated  milk.  In:  International  Dairy 
Journal 18 (2008), Heft 1, S. 72-80. https://doi.org/10.1016/j.idairyj.2007.06.008. </t>
  </si>
  <si>
    <t xml:space="preserve">Beuf, M.; Rizzo, G.; Leuliet, J. et al.: Fouling and Cleaning of Modified Stainless 
Steel Plate Heat Exchangers Processing Milk Products (2004). </t>
  </si>
  <si>
    <t xml:space="preserve">Zhao,  Q.:  Effect  of  surface  free  energy  of  graded  NI–P–PTFE  coatings  on 
bacterial adhesion. In: Surface and Coatings Technology 185 (2004), 2-3, S. 199-
204. https://doi.org/10.1016/j.surfcoat.2003.12.009. </t>
  </si>
  <si>
    <t xml:space="preserve">Zhao, Q.; Liu, Y.: Investigation of graded Ni–Cu–P–PTFE composite coatings 
with antiscaling properties. In: Applied Surface Science 229 (2004), 1-4, S. 56-
62. https://doi.org/10.1016/j.apsusc.2004.01.044. </t>
  </si>
  <si>
    <t xml:space="preserve">Balasubramanian,  S.;  Puri,  V.M.:  Reduction  of  Milk  Fouling  in  a  Plate  Heat 
Exchanger System Using Food-Grade Surface Coating. In: Transactions of the 
ASABE 52 (2009), Heft 5, S. 1603-1610. https://doi.org/10.13031/2013.29111. </t>
  </si>
  <si>
    <t xml:space="preserve">Rosmaninho, R.; Santos, O.; Nylander, T. et al.: Modified stainless steel surfaces 
targeted  to  reduce  fouling  –  Evaluation  of  fouling  by  milk  components.  In: 
Journal  of  Food  Engineering  80  (2007),  Heft  4,  S.  1176-1187. 
https://doi.org/10.1016/j.jfoodeng.2006.09.008. </t>
  </si>
  <si>
    <t xml:space="preserve">Liu, Z.; Chen, Z.; Li, W. et al.: Composite Fouling Characteristics on Ni-P-PTFE 
Nanocomposite Surface in Corrugated Plate Heat Exchanger. In: Heat Transfer 
Engineering  42  (2021),  Heft  22,  S.  1877-1888. 
https://doi.org/10.1080/01457632.2020.1834202. </t>
  </si>
  <si>
    <t xml:space="preserve">Oppong Boakye, G.; Ormsdóttir, A.M.; Gunnarsson, B.G. et al.: The Effect of 
Polytetrafluoroethylene  (PTFE)  Particles  on  Microstructural  and  Tribological 
Properties of Electroless Ni-P+PTFE Duplex Coatings Developed for Geothermal 
Applications.  In:  Coatings  11  (2021),  Heft  6,  S.  670. 
https://doi.org/10.3390/coatings11060670. </t>
  </si>
  <si>
    <t xml:space="preserve">Ren, L.; Cheng, Y.; Wang, Q. et al.: Study on the properties of Ni-W-P coating 
with PTFE co-deposition. In: Surface Topography: Metrology and Properties 7 
(2019), Heft 4, S. 45009. https://doi.org/10.1088/2051-672X/ab47a1. </t>
  </si>
  <si>
    <t>PPS/PTFE</t>
  </si>
  <si>
    <t xml:space="preserve">Qian, H.; Zhu, Y.; Wang, H. et al.: Preparation and Antiscaling Performance of 
Superhydrophobic  Poly(phenylene  sulfide)/Polytetrafluoroethylene  Composite 
Coating. In: Industrial &amp; Engineering Chemistry Research 56 (2017), Heft 44, S. 
12663-12671. https://doi.org/10.1021/acs.iecr.7b03975. </t>
  </si>
  <si>
    <t xml:space="preserve">Cheng, Y.H.; Chen, H.Y.; Zhu, Z.C. et al.: Experimental study on the anti-fouling 
effects  of  Ni–Cu–P-PTFE  deposit  surface  of  heat  exchangers.  In:  Applied 
Thermal  Engineering  68  (2014),  1-2,  S.  20-25. 
https://doi.org/10.1016/j.applthermaleng.2014.04.003. </t>
  </si>
  <si>
    <t>Ni-W-PTFE</t>
  </si>
  <si>
    <t>Xylan</t>
  </si>
  <si>
    <t>Excalibur</t>
  </si>
  <si>
    <t>Epoxy-resin A1</t>
  </si>
  <si>
    <t xml:space="preserve">Kananeh, A.B.; Scharnbeck, E.; Kück,  U.D.  et  al.:  Reduction of milk  fouling 
inside  gasketed  plate  heat  exchanger  using  nano-coatings.  In:  Food  and Bioproducts  Processing  88  (2010),  Heft  4,  S.  349-356. 
https://doi.org/10.1016/j.fbp.2010.09.010. </t>
  </si>
  <si>
    <t>Epoxy-resin A2</t>
  </si>
  <si>
    <t>Epoxy-resin A17</t>
  </si>
  <si>
    <t>Polyurethane A9</t>
  </si>
  <si>
    <t>Polyurethane A10</t>
  </si>
  <si>
    <t>DLC</t>
  </si>
  <si>
    <t xml:space="preserve">Augustin,  W.;  Zhang,  J.;  Bialuch,  I.  et  al.:  Modifizierte 
Oberflächenbeschichtungen  zur  Foulingminderung  auf  wärmeübertragenden 
Flächen.  In:  Chemie  Ingenieur  Technik  78  (2006),  Heft  5,  S.  607-612. 
https://doi.org/10.1002/cite.200500141. </t>
  </si>
  <si>
    <t>ZETTLER, H.U.; WEI, M.; Zhao, Q. et al.: Influence of Surface Properties and 
Characteristics  on  Fouling  in  Plate  Heat  Exchangers.  In:  Heat  Transfer 
Engineering  26  (2005),  Heft  2,  S.  3-17. 
https://doi.org/10.1080/01457630590897024.</t>
  </si>
  <si>
    <t xml:space="preserve">Boxler, C.; Augustin, W.; Scholl, S.:  Influence of surface modification on the 
composition  of a calcium  phosphate-rich  whey  protein  deposit  in  a plate heat 
exchanger.  In:  Dairy  Science  &amp;  Technology  94  (2014),  Heft  1,  S.  17-31. 
https://doi.org/10.1007/s13594-013-0142-5. </t>
  </si>
  <si>
    <t xml:space="preserve">Boxler, C.; Augustin, W.; Scholl, S.: Fouling of milk components on DLC coated 
surfaces  at  pasteurization  and  UHT  temperatures.  In:  Food  and  Bioproducts Processing  91  (2013),  Heft  4,  S.  336-347. 
https://doi.org/10.1016/j.fbp.2012.11.012. </t>
  </si>
  <si>
    <t xml:space="preserve">Höft, S.; Grahn, S.; Bialuch, I. et al.: Low-Fouling Heat Exchanger for Biofuel 
Usage in  Combined Heat  and Power Units.  In:  Heat  Transfer Engineering 41 
(2020), Heft 4, S. 311-323. https://doi.org/10.1080/01457632.2018.1540452. </t>
  </si>
  <si>
    <t xml:space="preserve">Santos, O.; Nylander, T.; Schillén, K. et al.: Effect of surface and bulk solution 
properties  on  the  adsorption  of  whey  protein  onto  steel  surfaces  at  high 
temperature.  In:  Journal  of  Food  Engineering  73  (2006),  Heft  2,  S.  174-189. 
https://doi.org/10.1016/j.jfoodeng.2005.01.018. </t>
  </si>
  <si>
    <t xml:space="preserve">Geddert, T.; Albert, F.; Bialuch, I. et al.: Verringerung der Belagbildung durch 
beschichtete Oberflächen. In: Vakuum in Forschung und Praxis 21 (2009), Heft 
3, S. 14-17. https://doi.org/10.1002/vipr.200900385. </t>
  </si>
  <si>
    <t xml:space="preserve">Mauermann,  M.;  Eschenhagen,  U.;  Bley,  T.  et  al.:  Surface  modifications  – 
Application potential for the reduction of cleaning costs in the food processing 
industry.  In:  Trends  in  Food  Science  &amp;  Technology  20  (2009),  S9-S15. 
https://doi.org/10.1016/j.tifs.2009.01.020. </t>
  </si>
  <si>
    <t>Ti-DLC</t>
  </si>
  <si>
    <t xml:space="preserve">Zhao, Q.; Wang, X.: Heat transfer surfaces coated with fluorinated diamond-like 
carbon films to minimize scale formation. In: Surface and Coatings Technology 
192 (2005), Heft 1, S. 77-80. https://doi.org/10.1016/j.surfcoat.2004.02.030. </t>
  </si>
  <si>
    <t>Höft, S.; Grahn, S.; Bialuch, I. et al.: Low-Fouling Heat Exchanger for Biofuel 
Usage in  Combined Heat  and Power Units.  In:  Heat  Transfer Engineering 41 
(2020), Heft 4, S. 311-323. https://doi.org/10.1080/01457632.2018.1540452.</t>
  </si>
  <si>
    <t xml:space="preserve">Patel, J.S.; Bansal, B.; Jones, M.I. et al.: Fouling behaviour of milk and whey 
protein  isolate  solution  on  doped  diamond-like  carbon  modified  surfaces.  In: 
Journal  of  Food  Engineering  116  (2013),  Heft  2,  S.  413-421. 
https://doi.org/10.1016/j.jfoodeng.2012.12.014. </t>
  </si>
  <si>
    <t>Edelstahl (2B)</t>
  </si>
  <si>
    <t>Rosmaninho,  R.;  Visser,  H.;  Melo,  L.:  Influence  of  the  surface  tension 
components of stainless steel on fouling caused by calcium phosphate. In: Miguel, 
M.;  Burrows,  H.D.  (Hrsg.):  Trends  in  Colloid  and  Interface  Science  XVI. 
Springer Berlin Heidelberg, Berlin, Heidelberg, 2004, S. 203-209.</t>
  </si>
  <si>
    <t xml:space="preserve">Rizzo,  G.:  Induktionszeit  beim  Kristallisationsfouling  an  ionenimplantierten 
Wärmeübertragerflächen Ausgabe 2008. </t>
  </si>
  <si>
    <t>Ne+</t>
  </si>
  <si>
    <t>Si+</t>
  </si>
  <si>
    <t>TiC</t>
  </si>
  <si>
    <t>N+</t>
  </si>
  <si>
    <t xml:space="preserve">Zhao,  Q.;  Liu,  Y.;  Wang,  C.  et  al.:  Reduction  of  bacterial  adhesion  on  ion-
implanted stainless steel surfaces. In: Medical engineering &amp; physics, Vol. 30 
(2008), Iss. 3, pp. 341-349. https://doi.org/10.1016/j.medengphy.2007.04.004. </t>
  </si>
  <si>
    <t xml:space="preserve">Augustin,  W.:  Verminderung  der  Belagbildun  gin  Wärmeübertragern  bei  der 
Suspensionspolymerisation – Schlussbericht Ausgabe 2019. </t>
  </si>
  <si>
    <t>Edelstahl EP (60s)</t>
  </si>
  <si>
    <t>Edelstahl EP (180s)</t>
  </si>
  <si>
    <t xml:space="preserve">Geddert, T.; Bialuch, I.; Augustin, W. et al.: Extending the Induction Period of 
Crystallization Fouling Through Surface Coating. In: Heat Transfer Engineering 
30 (2009), 10-11, S. 868-875. https://doi.org/10.1080/01457630902753789. </t>
  </si>
  <si>
    <t>SICAN</t>
  </si>
  <si>
    <t>SICAN EP</t>
  </si>
  <si>
    <t xml:space="preserve">Siebeneck,  K.;  Lüken,  J.;  Lu,  Y.  et  al.:  Aging  and  Thermal  Conditioning  of 
Modified Heat Exchanger Surfaces—Impact on Crystallization Fouling. In: Heat 
Transfer  Engineering  38  (2017),  7-8,  S.  818-828. 
https://doi.org/10.1080/01457632.2016.1206431. </t>
  </si>
  <si>
    <t>Ti</t>
  </si>
  <si>
    <t xml:space="preserve">Lv, Y.; Liu, M.Y.; Hui, L.F. et al.: Heat Transfer and Fouling Rate at Boiling 
on Superhydrophobic Surface with TiO2 Nanotube-Array Structure. In: Journal 
of  Engineering  Thermophysics  28  (2019),  Heft  2,  S.  163-176. 
https://doi.org/10.1134/S1810232819020012. </t>
  </si>
  <si>
    <t>Ti-PVD</t>
  </si>
  <si>
    <t xml:space="preserve">Oon,  C.S.;  Kazi,  S.N.;  Hakimin,  M.A.  et  al.:  Heat  transfer  and  fouling 
deposition  investigation  on  the  titanium  coated  heat  exchanger  surface.  In: 
Powder  Technology  373  (2020),  S.  671-680. 
https://doi.org/10.1016/j.powtec.2020.07.010. </t>
  </si>
  <si>
    <t>TiO2</t>
  </si>
  <si>
    <t>TiO2-LPD</t>
  </si>
  <si>
    <t xml:space="preserve">Liu, M.-Y.; Wang, H.; Wang, Y.: Enhancing flow boiling and antifouling with 
nanometer titanium dioxide coating surfaces. In: AIChE Journal 53 (2007), Heft 
5, S. 1075-1085. https://doi.org/10.1002/aic.11150. </t>
  </si>
  <si>
    <t>TiO2-FPS</t>
  </si>
  <si>
    <t>Ni-P-TiO2</t>
  </si>
  <si>
    <t>SiOx-PECVD</t>
  </si>
  <si>
    <t>SiOx-Sol-Gel</t>
  </si>
  <si>
    <t>SiF3+3</t>
  </si>
  <si>
    <t>SiO2-Sol-Gel</t>
  </si>
  <si>
    <t>SiO2-Gel-basiert</t>
  </si>
  <si>
    <t>Türkis</t>
  </si>
  <si>
    <t>Himmelblau</t>
  </si>
  <si>
    <t>Ultramarine</t>
  </si>
  <si>
    <t>Liquid Guard</t>
  </si>
  <si>
    <t>Silber nano</t>
  </si>
  <si>
    <t>Versilbert</t>
  </si>
  <si>
    <t>Heureka</t>
  </si>
  <si>
    <t>Vernickelt</t>
  </si>
  <si>
    <t>Nanotol</t>
  </si>
  <si>
    <t>PTFE-Tech</t>
  </si>
  <si>
    <t>Titan</t>
  </si>
  <si>
    <t>S. N. Kazi, G. G. Duffy und X. D. Chen. Mineral scale formation and mitigation on metals and a polymeric heat exchanger surface. In: Applied Thermal Engineering Vol. 30. Nr. 14-15 (2010), S. 2236–2242. ISSN: 13594311.</t>
  </si>
  <si>
    <t>Martinez-Urrutia et al. Contact angle measurement for LiBr</t>
  </si>
  <si>
    <t>https://www.permabond.com/resource-center/surface-energy-wetability/</t>
  </si>
  <si>
    <t>Polycarbonat</t>
  </si>
  <si>
    <t>Guro Aspenes∗,1,2, Sylvi Høiland 2, Tanja Barth 1, Kjell Magne Askvik 3, PETROLEUM HYDRATE DEPOSITION MECHANISMS: THE INFLUENCE OF PIPELINE WETTABILITY</t>
  </si>
  <si>
    <t>Coat Argon cold plasma-bar</t>
  </si>
  <si>
    <t>Jimenez, Maude; Hamze, Hassan; Allion, Audrey; Ronse, Gilles; Delaplace, Guillaume; Traisnel, Michel Antifouling Stainless Steel Surface: Competition between Roughness and Surface Energy</t>
  </si>
  <si>
    <t>Coat Flame treatment-bar</t>
  </si>
  <si>
    <t>Coat Argon cold plasma-Spray</t>
  </si>
  <si>
    <t>Coat Flame treatment-Spray</t>
  </si>
  <si>
    <t>Plasma Enhanced chemical Vapour Deposition under vacuum 2</t>
  </si>
  <si>
    <t>Plasma Enhanced chemical Vapour Deposition under vacuum 3</t>
  </si>
  <si>
    <t>Plasma Enhanced chemical Vapour Deposition under vacuum 1</t>
  </si>
  <si>
    <t>PTFE/PPS Spray</t>
  </si>
  <si>
    <t>Förster et al. Modification of molecular interactions at the interface
crystal/heat transfer surface to minimize heat exchanger
fouling</t>
  </si>
  <si>
    <t>Bronze</t>
  </si>
  <si>
    <t>Giuliani et al. Chitosan-based coatings for corrosion protection of copper-based alloys: A promising more sustainable approach for cultural heritage applications</t>
  </si>
  <si>
    <t>Förster, Bohnet 2000 Antifouling and anticorrosion behaviors of modified heat transfer
surfaces with coatings in simulated hot-dry-rock geothermal water</t>
  </si>
  <si>
    <t>LPD TiO2</t>
  </si>
  <si>
    <t>Sol-gel TiO2</t>
  </si>
  <si>
    <t>Sol-gel SiO2</t>
  </si>
  <si>
    <t>a-C:H:Si:O Sicon</t>
  </si>
  <si>
    <t>T. Geddert, W. Augustin und S. Scholl. Verlängerung der Induktionsphase im Fouling durch kohlenstoffbasierte Beschichtungen von Wärmeübertragern. In: Chemie Ingenieur Technik Vol. 81. Nr. 9 (2009), S. 1445–1452.</t>
  </si>
  <si>
    <t>a-C:H DLC</t>
  </si>
  <si>
    <t>CrN Chromnitrid</t>
  </si>
  <si>
    <t>a:C:H:Si SICAN</t>
  </si>
  <si>
    <t>a-C:H:Si</t>
  </si>
  <si>
    <t>Ni-P-PTFE (4,0% PTFE)</t>
  </si>
  <si>
    <t>R. Matjie et al. Tailored surface energy of stainless steel plate coupons to reduce the adhesion of aluminium silicate deposit. In: Fuel Vol. 181. Nr. 2016 (2016), S. 573–578. ISSN: 00162361.</t>
  </si>
  <si>
    <t>Ni-P-PTFE (5,1% PTFE)</t>
  </si>
  <si>
    <t>N-DLC (1,6 % N)</t>
  </si>
  <si>
    <t>N-DLC (4,1 % N)</t>
  </si>
  <si>
    <t>N-DLC (8,1 % N)</t>
  </si>
  <si>
    <t>Si-DLC (7,0 % Si)</t>
  </si>
  <si>
    <t>F-DLC (5,0 % F)</t>
  </si>
  <si>
    <t>F-DLC (15,0 % F)</t>
  </si>
  <si>
    <t>Silber (formaldehydre)</t>
  </si>
  <si>
    <t>W. Shao und Q. Zhao. Inﬂuence of reducers on nanostructure and surface energy of silver coatings and bacterial adhesion. In: Surface and Coatings Technology Vol. 204. Nr. 8 (2010), S. 1288–1294. ISSN: 02578972.</t>
  </si>
  <si>
    <t>Silber (hydrazine)</t>
  </si>
  <si>
    <t>Silber (Glucose)</t>
  </si>
  <si>
    <t>Ni-P</t>
  </si>
  <si>
    <t>C. Liu und Q. Zhao. Inﬂuence of surface-energy components of Ni-P-TiO2-PTFE nano-composite coatings on bacterial adhesion. In: Langmuir: The ACS Journal of Surfaces and Colloids Vol. 27. Nr. 15 (2011), S. 9512–9519. Q. Zhao et al. Antibacterial characteristics of electroless plating Ni–P–TiO2 coatings. In: Applied Surface Science Vol. 274. Nr. 2013 (2013), S. 101–104. ISSN: 01694332.</t>
  </si>
  <si>
    <t>Ni-P-TiO2-PTFE 1</t>
  </si>
  <si>
    <t>Ni-P-TiO2-PTFE 2</t>
  </si>
  <si>
    <t>Ni-P-TiO2-PTFE 3</t>
  </si>
  <si>
    <t>Ni-P-TiO2-PTFE 4</t>
  </si>
  <si>
    <t>6,5%-F-DLC (Fluor)</t>
  </si>
  <si>
    <t xml:space="preserve"> X. J. Su et al. Modiﬁcation of diamond-like carbon coatings with ﬂuorine to reduce biofouling adhesion. In: Surface and Coatings Technology Vol. 204. Nr. 15 (2010), S. 2454–2458. ISSN: 02578972.</t>
  </si>
  <si>
    <t>20,7%-F-DLC (Fluor)</t>
  </si>
  <si>
    <t>39,2%-F-DLC (Fluor)</t>
  </si>
  <si>
    <t>F. R. Marciano et al. Antibacterial activity of DLC ﬁlms containing TiO2 nanoparticles. In: Journal of Colloid and Interface Science Vol. 340. Nr. 1 (2009), S. 87–92. F. R. Marciano et al. Antibacterial activity of ﬂuorinated diamond-like carbon ﬁlms pro-duced by PECVD. In: Surface and Coatings Technology Vol. 204. Nr. 18-19 (2010), S. 2986–2990. ISSN: 02578972.</t>
  </si>
  <si>
    <t>TiO2-DLC (0,1 g/L)</t>
  </si>
  <si>
    <t>TiO2-DLC (0,5 g/L)</t>
  </si>
  <si>
    <t>TiO2-DLC (1,0 g/L)</t>
  </si>
  <si>
    <t>ZnO-Nanopartikel</t>
  </si>
  <si>
    <t>K. R. Raghupathi, R. T. Koodali und A. C. Manna. Size-dependent bacterial growth inhibition and mechanism of antibacterial activity of zinc oxide nanoparticles. In: Langmuir: the ACS journal of surfaces and colloids Vol. 27. Nr. 7 (2011), S. 4020–4028.</t>
  </si>
  <si>
    <t>Hasnidawani J.N., Surface Roughness of ZnO-SiO2 Nanocoating</t>
  </si>
  <si>
    <t xml:space="preserve">Na, Sung-Ho; Park, Chul-Hong First-Principles Study of the Surface of Wurtzite ZnO and ZnS - Implications for Nanostructure </t>
  </si>
  <si>
    <t>Nanocrystalline diamaond (NCD)</t>
  </si>
  <si>
    <t>O. Medina et al. Bactericide and bacterial anti-adhesive properties of the nanocrystal-line diamond surface. In: Diamond and Related Materials Vol. 22 (2012), S. 77–81. ISSN: 09259635.</t>
  </si>
  <si>
    <t>Sobolewski, Sergej et al Surface energy of growth and seeding side of free standing nanocrystalline diamond foils</t>
  </si>
  <si>
    <t>Micrpcrystalline diamond (MCD)</t>
  </si>
  <si>
    <t>Silber</t>
  </si>
  <si>
    <t>Polyethylene</t>
  </si>
  <si>
    <t>Fenouillot, F. Uneven distribution of nanoparticles in immiscible fluids:
Morphology development in polymer blends</t>
  </si>
  <si>
    <t>S. Jindal, S. Anand, K. Huang, J. Goddard, L. Metzger, J. Amamcharla, Evaluation of modified stainless steel surfaces targeted to reduce biofilm formation by common milk sporeformers, Journal of dairy science 99 (2016) 9502–9513.</t>
  </si>
  <si>
    <t>AMC-18-Coupon</t>
  </si>
  <si>
    <t>Dursan</t>
  </si>
  <si>
    <t>Lectrofluor 641</t>
  </si>
  <si>
    <t>AISI 304 BA Ra=1,55</t>
  </si>
  <si>
    <t>A. Herz, M.R. Malayeri, H. Müller-Steinhagen, Fouling of roughened stainless steel surfaces during convective heat transfer to aqueous solutions, Energy Conversion and Management 49 (2008) 3381–3386.</t>
  </si>
  <si>
    <t>AISI 304 BA Ra=1,1</t>
  </si>
  <si>
    <t>AISI 304 BA Ra=0,54</t>
  </si>
  <si>
    <t>Polyethersulfone (0,1 % Graphene Oxide)</t>
  </si>
  <si>
    <t>A. Najjar, S. Sabri, R. Al-Gaashani, V. Kochkodan, M. Atieh, Enhanced Fouling Resistance and Antibacterial Properties of Novel Graphene Oxide-Arabic Gum Polyethersulfone Membranes, Applied Sciences 9 (2019) 513.</t>
  </si>
  <si>
    <t>Carbon steel</t>
  </si>
  <si>
    <t>Z. Xu, M. Sun, Z. Liu, B. Wang, H. Di, Properties of the Iron Bacteria Biofouling on Ni–P–rGO Coating, Applied Sciences 10 (2020) 1567.</t>
  </si>
  <si>
    <t>Ni-P-rGo20</t>
  </si>
  <si>
    <t>Ni-P-rGo30</t>
  </si>
  <si>
    <t>Ni-P-rGo40</t>
  </si>
  <si>
    <t>Ni-P-rGo50</t>
  </si>
  <si>
    <t>Ni-P-rGo60</t>
  </si>
  <si>
    <t>Ni-P-rGo70</t>
  </si>
  <si>
    <t>Ni-P-rGo80</t>
  </si>
  <si>
    <t>NTS</t>
  </si>
  <si>
    <t>P. Tang, W. Zhang, Y. Wang, B. Zhang, H. Wang, C. Lin, L. Zhang, Effect of Superhydrophobic Surface of Titanium on Staphylococcus aureus Adhesion, Journal of Nanomaterials 2011 (2011) 1–8.</t>
  </si>
  <si>
    <t>TiS</t>
  </si>
  <si>
    <t>Y.-Y. Zhao, B. Zhao, X. Su, S. Zhang, S. Wang, R. Keatch, Q. Zhao, Reduction of bacterial adhesion on titanium-doped diamond-like carbon coatings, Biofouling 34 (2018) 26–33.</t>
  </si>
  <si>
    <t>1.3%Ti-DLC</t>
  </si>
  <si>
    <t>1.8%Ti-DLC</t>
  </si>
  <si>
    <t>3,2%Ti-DLC</t>
  </si>
  <si>
    <t>Smooth</t>
  </si>
  <si>
    <t>R.L. Taylor, J. Verran, G.C. Lees, A.J. Ward, The influence of substratum topography on bacterial adhesion to polymethyl methacrylate, Journal of materials science. Materials in medicine 9 (1998) 17–22.</t>
  </si>
  <si>
    <t>P1200</t>
  </si>
  <si>
    <t>P400</t>
  </si>
  <si>
    <t>P120</t>
  </si>
  <si>
    <t>Bead</t>
  </si>
  <si>
    <t>Shot</t>
  </si>
  <si>
    <t>T. Wassmann, S. Kreis, M. Behr, R. Buergers, The influence of surface texture and wettability on initial bacterial adhesion on titanium and zirconium oxide dental implants, International journal of implant dentistry 3 (2017) 32.</t>
  </si>
  <si>
    <t>Liu, Luting et al, Atomic layer deposition of nano-TiO2 thin films
with enhanced biocompatibility and antimicrobial
activity for orthopedic implants</t>
  </si>
  <si>
    <t>Maximlapunkte: 6</t>
  </si>
  <si>
    <t>inkl. Wichtung</t>
  </si>
  <si>
    <t>Minimalpunkte: 1</t>
  </si>
  <si>
    <t>Maximlapunkte: 12</t>
  </si>
  <si>
    <t>Ni-P-PTFE-101KW</t>
  </si>
  <si>
    <t>PTFE-119-KW</t>
  </si>
  <si>
    <t>PTFE-81-KW</t>
  </si>
  <si>
    <t>Ni-P-PTFE-72KW</t>
  </si>
  <si>
    <t>Ni-P-PTFE-75KW</t>
  </si>
  <si>
    <t>Ni-P-PTFE-114KW</t>
  </si>
  <si>
    <t>Ni-P-PTFE-24y-</t>
  </si>
  <si>
    <t>Ni-P-PTFE-21y-</t>
  </si>
  <si>
    <t>Ni-P-PTFE-44,5y-</t>
  </si>
  <si>
    <t>Ni-P-PTFE-24y-1</t>
  </si>
  <si>
    <t>Ni-P-PTFE-24y-2</t>
  </si>
  <si>
    <t>Ni-P-PTFE-24y-3</t>
  </si>
  <si>
    <t>Ni-P-PTFE-24y-4</t>
  </si>
  <si>
    <t>Ni-P-PTFE-97,5kW</t>
  </si>
  <si>
    <t>Ni-P-PTFE-131KW</t>
  </si>
  <si>
    <t>Ni-Cu-P-PTFE-1</t>
  </si>
  <si>
    <t>Ni-Cu-P-PTFE-2</t>
  </si>
  <si>
    <t>DLC-66KW</t>
  </si>
  <si>
    <t>DLC-70KW</t>
  </si>
  <si>
    <t>DLC-59KW</t>
  </si>
  <si>
    <t>DLC-67KW</t>
  </si>
  <si>
    <t>DLC-48y-</t>
  </si>
  <si>
    <t>DLC-45y-</t>
  </si>
  <si>
    <t>DLC-44y-</t>
  </si>
  <si>
    <t>DLC-0,145Ra</t>
  </si>
  <si>
    <t>DLC-0,1Ra</t>
  </si>
  <si>
    <t>DLC-0,03Ra-1</t>
  </si>
  <si>
    <t>DLC-0,03Ra-2</t>
  </si>
  <si>
    <t>Si-DLC (SICAN)-35KW-1</t>
  </si>
  <si>
    <t>Si-DLC (SICAN)-37KW</t>
  </si>
  <si>
    <t>Si-DLC (SICAN)-35KW-2</t>
  </si>
  <si>
    <t>Si-DLC (SICAN)-46KW</t>
  </si>
  <si>
    <t>Si-DLC (SICAN)-47KW</t>
  </si>
  <si>
    <t>Si-DLC (SICAN)-35KW</t>
  </si>
  <si>
    <t>Si-O-DLC (SICON)-22y-</t>
  </si>
  <si>
    <t>Si-O-DLC (SICON)-46y-</t>
  </si>
  <si>
    <t>Si-O-DLC (SICON)-47y-</t>
  </si>
  <si>
    <t>Si-O-DLC (SICON)-27y-</t>
  </si>
  <si>
    <t>Si-O-DLC (SICON)-30y-</t>
  </si>
  <si>
    <t>Si-O-DLC (SICON)-36y-</t>
  </si>
  <si>
    <t>DLC F-1</t>
  </si>
  <si>
    <t>DLC F-2</t>
  </si>
  <si>
    <t>Dotierte Elemente unbekannt-KW56</t>
  </si>
  <si>
    <t>Dotierte Elemente unbekannt-KW61</t>
  </si>
  <si>
    <t>Dotierte Elemente unbekannt-KW51</t>
  </si>
  <si>
    <t>Edelstahl EP-58KW</t>
  </si>
  <si>
    <t>Edelstahl EP-105KW</t>
  </si>
  <si>
    <t>Edelstahl-84KW</t>
  </si>
  <si>
    <t>Edelstahl-41y-</t>
  </si>
  <si>
    <t>Edelstahl-44y-</t>
  </si>
  <si>
    <t>Edelstahl-88KW</t>
  </si>
  <si>
    <t>Edelstahl-55y-</t>
  </si>
  <si>
    <t>Edelstahl-93KW</t>
  </si>
  <si>
    <t>Edelstahl EP-67KW</t>
  </si>
  <si>
    <t>DLC-0,167Ra</t>
  </si>
  <si>
    <t>DLC-58KW</t>
  </si>
  <si>
    <t>X5CrNiMo17-12-2 (1.4401) (AISI 316)</t>
  </si>
  <si>
    <t xml:space="preserve"> NiMo16Cr15W (2.4819) (C-276)</t>
  </si>
  <si>
    <t>X1NiCrMoCu25-20-5 (1.4539) (AISI 904L)</t>
  </si>
  <si>
    <t>X1CrNiMoCuN20-18-7  (1.4547) (AISI 254SMO)</t>
  </si>
  <si>
    <t>NiCr23Mo16Cu (2.4675)</t>
  </si>
  <si>
    <t>Kupfer-1</t>
  </si>
  <si>
    <t>Aluminium-1</t>
  </si>
  <si>
    <t>Kupfer-2</t>
  </si>
  <si>
    <t>Aluminium-2</t>
  </si>
  <si>
    <t>Messing-2</t>
  </si>
  <si>
    <t>Messing-3</t>
  </si>
  <si>
    <t>Messing-1</t>
  </si>
  <si>
    <t>DLC-37,5y-</t>
  </si>
  <si>
    <t>X5CrNi18-10  (1.4301) (AISI 304)-1</t>
  </si>
  <si>
    <t>X5CrNi18-10 (1.4301) (SS304)-2</t>
  </si>
  <si>
    <t>DLC-0,2Ra</t>
  </si>
  <si>
    <t>DLC-82KW</t>
  </si>
  <si>
    <t>Kupfer-3</t>
  </si>
  <si>
    <t>DLC EP-0,4Ra</t>
  </si>
  <si>
    <t>DLC EP-0,15Ra</t>
  </si>
  <si>
    <t>Edelstahl-89y-1</t>
  </si>
  <si>
    <t>Edelstahl-89y-2</t>
  </si>
  <si>
    <t>F+64KW</t>
  </si>
  <si>
    <t>F+61KW</t>
  </si>
  <si>
    <t>H+64KW</t>
  </si>
  <si>
    <t>H+61KW</t>
  </si>
  <si>
    <t>MoS2^2+-0,04Ra</t>
  </si>
  <si>
    <t>MoS2^2+-0,07Ra</t>
  </si>
  <si>
    <t>MoS2^2+-0,025Ra</t>
  </si>
  <si>
    <t>Ni-P-PTFE-91KW</t>
  </si>
  <si>
    <t>Ni-P-PTFE-120KW</t>
  </si>
  <si>
    <t>O+-64KW</t>
  </si>
  <si>
    <t>O+-15,4KW</t>
  </si>
  <si>
    <t xml:space="preserve">SICON EP-26y- </t>
  </si>
  <si>
    <t>SiF3+-0,04Ra</t>
  </si>
  <si>
    <t>SiF3+-0,07Ra</t>
  </si>
  <si>
    <t>SiF3+-60KW</t>
  </si>
  <si>
    <t>SiF3+-64KW</t>
  </si>
  <si>
    <t>SiF3+33,3KW</t>
  </si>
  <si>
    <t>SiOx-PCVD-15KW</t>
  </si>
  <si>
    <t>SiOx-PCVD-37KW</t>
  </si>
  <si>
    <t>Titanium Rough Hydrophobic-1</t>
  </si>
  <si>
    <t>Titanium Rough Hydrophilic-1</t>
  </si>
  <si>
    <t>Titanium Smooth Hydrophobic-1</t>
  </si>
  <si>
    <t>Titanium Smooth Hydrophilic-1</t>
  </si>
  <si>
    <t>Ceramic Smooth Hydrophobic-2</t>
  </si>
  <si>
    <t>Ceramic Smooth Hydrophilic-2</t>
  </si>
  <si>
    <t>Titanium Rough Hydrophobic-2</t>
  </si>
  <si>
    <t>Titanium Rough Hydrophilic-2</t>
  </si>
  <si>
    <t>Titanium Smooth Hydrophobic-2</t>
  </si>
  <si>
    <t>Titanium Smooth Hydrophilic-2</t>
  </si>
  <si>
    <t>Ceramic Rough Hydrophobic-1</t>
  </si>
  <si>
    <t>Ceramic Rough Hydrophilic-1</t>
  </si>
  <si>
    <t>Ceramic Smooth Hydrophobic-1</t>
  </si>
  <si>
    <t>Ceramic Smooth Hydrophilic-1</t>
  </si>
  <si>
    <t>Ceramic Rough Hydrophobic-2</t>
  </si>
  <si>
    <t>Ceramic Rough Hydrophilic-2</t>
  </si>
  <si>
    <t>NiMo16Cr15W (2.4819) (C-276)</t>
  </si>
  <si>
    <t>Beste Größe</t>
  </si>
  <si>
    <t>Kontakwinkel</t>
  </si>
  <si>
    <t>°</t>
  </si>
  <si>
    <t>µm</t>
  </si>
  <si>
    <t>Oberflächenergie</t>
  </si>
  <si>
    <t>mJ/m²</t>
  </si>
  <si>
    <t>Empfehlungen Materialeigenschaften</t>
  </si>
  <si>
    <t>Empfehlungen Material</t>
  </si>
  <si>
    <t>Material</t>
  </si>
  <si>
    <t>Eignung Material</t>
  </si>
  <si>
    <t>Einbauen, dass man Material abfragen kann und dann Konfiguration von WÜ wählt</t>
  </si>
  <si>
    <t>Ausgabe wie viel Verbesserung zu erwarten ist --&gt; wie rechnet sich das jeweils wirtschaftlich</t>
  </si>
  <si>
    <t>Materialauswahl</t>
  </si>
  <si>
    <t>Berechnung Verbesserung durch Material</t>
  </si>
  <si>
    <t>Gesamtbeurteilung</t>
  </si>
  <si>
    <t>Verbesserung ggü. Standardmaterial in Prozentpunkten</t>
  </si>
  <si>
    <t>Erreichbare Werte ggü. Standardmaterial in Prozent</t>
  </si>
  <si>
    <t>Verfügbare Heizleistung in kW</t>
  </si>
  <si>
    <t>Verfügbare Kühlleistung in kW</t>
  </si>
  <si>
    <t>Mögliche Wärmemenge in MWh</t>
  </si>
  <si>
    <t>Mögliche Kühlenergiemenge in MWh</t>
  </si>
  <si>
    <t>Kosten im Vergleich zum Standardmaterial (Heizen)</t>
  </si>
  <si>
    <t>Kosten im Vergleich zum Standardmaterial (Kühlen)</t>
  </si>
  <si>
    <t>Arbeitszahl Gesamtsystem</t>
  </si>
  <si>
    <t>Wärmepreis /Emissionen Grubenwasser</t>
  </si>
  <si>
    <t>Kältepreis /Emissionen Grubenwasser</t>
  </si>
  <si>
    <t>Emissionen im Vergleich zum Standardmaterial (Heizen)</t>
  </si>
  <si>
    <t>Emissionen im Vergleich zum Standardmaterial (Kühlen)</t>
  </si>
  <si>
    <t>Wärmeübertragerdaten</t>
  </si>
  <si>
    <t>Modell:</t>
  </si>
  <si>
    <t>Plattenanzahl</t>
  </si>
  <si>
    <t>Empfohlene Oberflächeneigenschaften</t>
  </si>
  <si>
    <t>Kontaktwinkel in °</t>
  </si>
  <si>
    <t>Rauigkeit in µm</t>
  </si>
  <si>
    <t>Oberflächenergie in mJ/m²</t>
  </si>
  <si>
    <t>Weitere Empfehlungen:</t>
  </si>
  <si>
    <t>Empfohlene Materialien</t>
  </si>
  <si>
    <t>Kontakt-winkel</t>
  </si>
  <si>
    <t>Oberflächen-energie</t>
  </si>
  <si>
    <t>Material 1</t>
  </si>
  <si>
    <t>Material 2</t>
  </si>
  <si>
    <t>Material 3</t>
  </si>
  <si>
    <t>Rechenwerte Diagramm</t>
  </si>
  <si>
    <t>Gemittelte Prognose</t>
  </si>
  <si>
    <t>Mittlerer Prongosewert</t>
  </si>
  <si>
    <t>Mittlere Prognose</t>
  </si>
  <si>
    <t>Gemittelte Gesamtprognose</t>
  </si>
  <si>
    <t>Obere Prognose (Optimiste Prognose)</t>
  </si>
  <si>
    <t>Untere Prognose (Pessimistische Prognose)</t>
  </si>
  <si>
    <t>Diagrammwert</t>
  </si>
  <si>
    <t>Bezogen auf:</t>
  </si>
  <si>
    <t>Prognose Foulingreduktion pro Material</t>
  </si>
  <si>
    <t>Um die mögliche Verbesserung eines Materials gegenüber Edelstahl für den gewählten Standort berechnen zu können, muss ausgewählt werden auf welchen Prognosewert aus dem Foulingtool sich die Analyse beziehen soll, neben der optimistischen, mittleren und pessimistischen Prognose kann auch eine gemittelte Prognose gewählt werden.</t>
  </si>
  <si>
    <t>Potenzielle Kosten- und Emissionsreduktion durch Materialauswahl</t>
  </si>
  <si>
    <t>Kostenreduktion</t>
  </si>
  <si>
    <t>Emissionsreduktion</t>
  </si>
  <si>
    <t>bis zu</t>
  </si>
  <si>
    <t>im Mittel</t>
  </si>
  <si>
    <t>Wirtschaftlichkeit einer Beschichtung</t>
  </si>
  <si>
    <t xml:space="preserve">Amortisation im Mittel nach: </t>
  </si>
  <si>
    <t>Mehrkosten pro Platte:</t>
  </si>
  <si>
    <t>Wert aus Datenbank:</t>
  </si>
  <si>
    <t>4,3-fach</t>
  </si>
  <si>
    <t>1,6-fach</t>
  </si>
  <si>
    <t>1,5-fach</t>
  </si>
  <si>
    <t>gleicher Preis</t>
  </si>
  <si>
    <t>5,5-fach</t>
  </si>
  <si>
    <t>1,4-fach</t>
  </si>
  <si>
    <t>6,72 €/Platte</t>
  </si>
  <si>
    <t>127 €/Platte</t>
  </si>
  <si>
    <t>21,12 €/Platte</t>
  </si>
  <si>
    <t>44,96 €/Platte</t>
  </si>
  <si>
    <t>2,25 €/Platte</t>
  </si>
  <si>
    <t>3,49 €/Platte</t>
  </si>
  <si>
    <t>0,50 €/Platte</t>
  </si>
  <si>
    <t>Abb. 4 Prognostizierte Reduktion der Heiz-/Kälteleistung über den Wärmeübertrager für drei ausgewählte Materialien, bezogen auf die Prognose aus dem Foulingtool</t>
  </si>
  <si>
    <t>Standortklassifizierung</t>
  </si>
  <si>
    <t>Wirthschaftlich</t>
  </si>
  <si>
    <t>Gesamtstandort:</t>
  </si>
  <si>
    <t>Hilfsrechnung Betriebsstunden:</t>
  </si>
  <si>
    <t>Standort-klassifizierung</t>
  </si>
  <si>
    <t>B</t>
  </si>
  <si>
    <t>C</t>
  </si>
  <si>
    <t>A+</t>
  </si>
  <si>
    <t>D</t>
  </si>
  <si>
    <t>E</t>
  </si>
  <si>
    <t>F</t>
  </si>
  <si>
    <t>G</t>
  </si>
  <si>
    <t>H</t>
  </si>
  <si>
    <t>Fouling-klassifizierung</t>
  </si>
  <si>
    <t>Bewertungsgrenze</t>
  </si>
  <si>
    <t>GPTES-ZV</t>
  </si>
  <si>
    <t>Weiß</t>
  </si>
  <si>
    <t>Weiß-Aluminium-Silber</t>
  </si>
  <si>
    <t>Chitosan D 25</t>
  </si>
  <si>
    <t>n</t>
  </si>
  <si>
    <t>y=mx+n</t>
  </si>
  <si>
    <t>Funktion_unteres_Quantil</t>
  </si>
  <si>
    <t>Min=1</t>
  </si>
  <si>
    <t>Max=6</t>
  </si>
  <si>
    <t>Funktion_Median</t>
  </si>
  <si>
    <t>Funktion_oberes-Quantil</t>
  </si>
  <si>
    <t>Teststandort</t>
  </si>
  <si>
    <t>Foulingklassifizierung</t>
  </si>
  <si>
    <t>unten</t>
  </si>
  <si>
    <t>oben</t>
  </si>
  <si>
    <t>Wert unten</t>
  </si>
  <si>
    <t>SF_r</t>
  </si>
  <si>
    <t>SF_real</t>
  </si>
  <si>
    <t>Heureka (SiO2)</t>
  </si>
  <si>
    <t>Ausgabe Standortbewertung</t>
  </si>
  <si>
    <t>Ausgabe Wärmeübertragerdesign</t>
  </si>
  <si>
    <t>Leistung</t>
  </si>
  <si>
    <t>Energiemenge in MWh</t>
  </si>
  <si>
    <t>Referenz Energiemenge 1000 %</t>
  </si>
  <si>
    <t>Verfügbarer Wärme (Wärmepumpe) nach einem Jahr:</t>
  </si>
  <si>
    <t>Verfügbare Kälte nach einem Jahr:</t>
  </si>
  <si>
    <t>Faktor Vollast Heizen</t>
  </si>
  <si>
    <t>Faktor Volllast Kühlen:</t>
  </si>
  <si>
    <t>Anteil Heizen Kühlen</t>
  </si>
  <si>
    <r>
      <t>VF</t>
    </r>
    <r>
      <rPr>
        <i/>
        <vertAlign val="subscript"/>
        <sz val="10"/>
        <rFont val="Arial"/>
        <family val="2"/>
      </rPr>
      <t>m,pr/upr/opr,f,min/max/med/uqu/oqu</t>
    </r>
  </si>
  <si>
    <t>upr</t>
  </si>
  <si>
    <t>pr</t>
  </si>
  <si>
    <t>opr</t>
  </si>
  <si>
    <t>Foulingbewertung</t>
  </si>
  <si>
    <t>Alfa Laval AQ10T</t>
  </si>
  <si>
    <t>Alfa Laval AQ10T-PFM</t>
  </si>
  <si>
    <t>TRANTER TB030</t>
  </si>
  <si>
    <t>TRANTER TB050</t>
  </si>
  <si>
    <t>TRANTER TB075</t>
  </si>
  <si>
    <t>TRANTER TB120</t>
  </si>
  <si>
    <t>TRANTER GTP-165-M-4-PR</t>
  </si>
  <si>
    <t>TRANTER GTP-216-M-4-NR</t>
  </si>
  <si>
    <t>TRANTER-GTP-315-M-4-NR</t>
  </si>
  <si>
    <t>TRANTER_GTP-155-L-5-NR</t>
  </si>
  <si>
    <t>TRANTER-GTP-305-M-5-NR</t>
  </si>
  <si>
    <t>units ppm</t>
  </si>
  <si>
    <t>Potenzieller Wärmestrom WÜ (Heizen)</t>
  </si>
  <si>
    <t>Potenzieller Wärmestrom WÜ (Kühlen)</t>
  </si>
  <si>
    <t>Potenziell verfügbarer Wärmestrom beim Abnehmer (Heizen)</t>
  </si>
  <si>
    <t>Potenziell verfügbarer Wärmestrom beim Abnehmer (Kühlen)</t>
  </si>
  <si>
    <t>PotenzielleKältemenge pro Jahr</t>
  </si>
  <si>
    <t>Wärmestrom</t>
  </si>
  <si>
    <t>Wärmemenge</t>
  </si>
  <si>
    <t>Kältemenge</t>
  </si>
  <si>
    <t>Abb 3 Prognostizierte Reduktion des Wärmestroms über den Wärmeübertrager</t>
  </si>
  <si>
    <t>Prädiktives Tool zur Vorbewertung von Grubenwassergeothermiestandorten</t>
  </si>
  <si>
    <t>Dieses Tool dient zur initialen Bewertung und Ableitung von Optionen zur Effizienzsteigerung von geothermischebn Anlagen, die Grubenwasser als Energiequelle nutzen. Es basiert auf der Methodik, die in der Dissertation von Dr.-Ing. Lukas Oppelt am Lehrstuhl für Technische Thermodynamik an der TU Bergakademie Freiberg entwickelt wurde (Oppelt, 2026).</t>
  </si>
  <si>
    <t>Zweck des Tools -  Ihr direkter Weg zur effizienten Grubenwärme</t>
  </si>
  <si>
    <t>Standorte verstehen. Fouling vorhersagen. Systeme optimieren.</t>
  </si>
  <si>
    <t>Anleitung zur Benutzung</t>
  </si>
  <si>
    <r>
      <rPr>
        <b/>
        <sz val="10"/>
        <rFont val="Arial"/>
        <family val="2"/>
      </rPr>
      <t xml:space="preserve">1. Dateneingabe: </t>
    </r>
    <r>
      <rPr>
        <sz val="10"/>
        <rFont val="Arial"/>
        <family val="2"/>
        <charset val="1"/>
      </rPr>
      <t xml:space="preserve">Tragen Sie im Tabellenblatt "Eingabe" die dort erforderlichen Parameter aus der Wasseranalyse und den sonstigen Betriebsparametern in die dafür vorgesehenen gelben Zellen ein. Stellen Sie sicher dass die Einheiten korrekt sind. Bei den technischen und chemischen Parametern ist die Eingabe aller Parameter erforderlich, bei den chemischen, toxischen und chemischen Parametern müssen nicht für alle Größen Werte eingetragen werden. Die Genauigkeit wird aber erhöht, je mehr Größen eingetragen werden.
</t>
    </r>
    <r>
      <rPr>
        <b/>
        <sz val="10"/>
        <rFont val="Arial"/>
        <family val="2"/>
      </rPr>
      <t>2. PHREEQC-Modellierung (Optional):</t>
    </r>
    <r>
      <rPr>
        <sz val="10"/>
        <rFont val="Arial"/>
        <family val="2"/>
        <charset val="1"/>
      </rPr>
      <t xml:space="preserve"> Die Genauigkeit der Foulingprognose kann durch die Nutzung einer PHREEQC-Modellierung erhöht werden. Im Tabellenblatt "Beispielskript Modellierung" ist ein Beispielskript hinterlegt. Die Ergebnisse können in das Tabellenblatt "Wichtungsberechnung" eingetragen werden und von dort in "Eingabe" überführt werden.
</t>
    </r>
    <r>
      <rPr>
        <b/>
        <sz val="10"/>
        <rFont val="Arial"/>
        <family val="2"/>
      </rPr>
      <t>3. Ergebnisse ablesen:</t>
    </r>
    <r>
      <rPr>
        <sz val="10"/>
        <rFont val="Arial"/>
        <family val="2"/>
        <charset val="1"/>
      </rPr>
      <t xml:space="preserve"> Nach der Eingabe werden die Ergebnisse automatisch im Tabellenblatt "Ausgabe Standortbewertung" und "Ausgabe Wärmeübertragerdesign" berechnet und angezeigt. In den gelben Feldern sind auch in diesen Blättern weitere Angaben erforderlich, z.B. zur voraussichtlichen Arbeitszahl der Wärmepumpe. Als Ausgabe erhalten Sie:</t>
    </r>
    <r>
      <rPr>
        <sz val="10"/>
        <rFont val="Arial"/>
        <family val="2"/>
      </rPr>
      <t xml:space="preserve">
- Eine Standortklassifizierung von "A+" bis "H" (Tabellenblatt "Ausgabe Standortbewertung")
- Eine Foulingprognose zur potenziellen Reduktion des verfügbaren Wärmestroms aus dem Grubenwasser über die Betriebszeit (Tabellenblatt "Ausgabe
</t>
    </r>
    <r>
      <rPr>
        <sz val="10"/>
        <color theme="0"/>
        <rFont val="Arial"/>
        <family val="2"/>
      </rPr>
      <t xml:space="preserve">- </t>
    </r>
    <r>
      <rPr>
        <sz val="10"/>
        <rFont val="Arial"/>
        <family val="2"/>
      </rPr>
      <t xml:space="preserve">Standortbewertung")
- Eine Empfehlung für das optimale Wärmeübertragermaterial oder eine Beschichtung mit einer daraus resultierenden potenziellen Reduktion des Foulings
</t>
    </r>
    <r>
      <rPr>
        <sz val="10"/>
        <color theme="0"/>
        <rFont val="Arial"/>
        <family val="2"/>
      </rPr>
      <t>-</t>
    </r>
    <r>
      <rPr>
        <sz val="10"/>
        <rFont val="Arial"/>
        <family val="2"/>
      </rPr>
      <t xml:space="preserve"> (Tabellenblatt "Ausgabe Wärmeübertragerdesign")
Eine ausführliche Anleitung kann unter: (bald verfügbar) heruntergeladen werden.</t>
    </r>
  </si>
  <si>
    <t>Wichtige Hinweise und Haftungsausschuss</t>
  </si>
  <si>
    <t>Wissenschaftlicher Hintergrund</t>
  </si>
  <si>
    <r>
      <t xml:space="preserve">Die vollständige Beschreibung der Methodik, der Berechnungsgrundlagen, der Validierung sowie der Grenzen des Modells finden Sie in der folgenden wissenschaftlichen Arbeit:
</t>
    </r>
    <r>
      <rPr>
        <i/>
        <sz val="10"/>
        <rFont val="Arial"/>
        <family val="2"/>
      </rPr>
      <t>Oppelt, L. (2026). Entwicklung und Validierung eines prädiktiven Tools für die Charakterisierung und Effiziensteigerung von Grubenwassergeothermiestandorten. Dissertation, TU Bergakdemie Freiberg</t>
    </r>
  </si>
  <si>
    <t>Kontakt und Version</t>
  </si>
  <si>
    <r>
      <rPr>
        <b/>
        <sz val="10"/>
        <rFont val="Arial"/>
        <family val="2"/>
      </rPr>
      <t xml:space="preserve">Prädiktiver Charakter: </t>
    </r>
    <r>
      <rPr>
        <sz val="10"/>
        <rFont val="Arial"/>
        <family val="2"/>
        <charset val="1"/>
      </rPr>
      <t xml:space="preserve">Dieses Tool liefert eine *Prognose* auf Basis eines vereinfachten Modells. Die Ergebnisse sind als Orientierungshilfe zu verstehen und stellen keine garantierten Werte dar.
</t>
    </r>
    <r>
      <rPr>
        <b/>
        <sz val="10"/>
        <rFont val="Arial"/>
        <family val="2"/>
      </rPr>
      <t xml:space="preserve">Gültigkeitsbereich: </t>
    </r>
    <r>
      <rPr>
        <sz val="10"/>
        <rFont val="Arial"/>
        <family val="2"/>
        <charset val="1"/>
      </rPr>
      <t xml:space="preserve">Die dem Tool zugrundeliegende Methodik wurde an 7 verschiedenen Standorten validiert. Bei Standorten mit stark abweichenden hydrogeochemischen Bedingungen können die Ergebnisse ungenauer sein.
</t>
    </r>
    <r>
      <rPr>
        <b/>
        <sz val="10"/>
        <rFont val="Arial"/>
        <family val="2"/>
      </rPr>
      <t>Kein Ersatz für Detailplanung:</t>
    </r>
    <r>
      <rPr>
        <sz val="10"/>
        <rFont val="Arial"/>
        <family val="2"/>
        <charset val="1"/>
      </rPr>
      <t xml:space="preserve"> Dieses Tool ersetzt nicht die Notwendigkeit einer detaillierten, standortspezifischen Eignungsprüfung und ingenieurtechnischen Fachplanung. Es dient dazu, die Anzahl potenzieller Standorte auf die vielversprechendsten einzugrenzen, bevor kostenintensive Studien beauftragt werden. Die Nutzung der Ergebnisse erfolgt auf eigene Verantwortung.
</t>
    </r>
  </si>
  <si>
    <t>CC BY-NC-SA 4.0-Lizenz</t>
  </si>
  <si>
    <t xml:space="preserve">Copyright © 2026, Lukas Oppelt, Lizenziert unter </t>
  </si>
  <si>
    <r>
      <rPr>
        <b/>
        <sz val="10"/>
        <rFont val="Arial"/>
        <family val="2"/>
      </rPr>
      <t xml:space="preserve">Lizenz: </t>
    </r>
    <r>
      <rPr>
        <sz val="10"/>
        <rFont val="Arial"/>
        <family val="2"/>
      </rPr>
      <t>Das Tool wird unter der CC BY-NC-SA 4.0-Lizenz veröffentlicht. Den vollständigen Lizenztext finden Sie hier:</t>
    </r>
  </si>
  <si>
    <r>
      <rPr>
        <b/>
        <sz val="10"/>
        <rFont val="Arial"/>
        <family val="2"/>
      </rPr>
      <t>Autor:</t>
    </r>
    <r>
      <rPr>
        <sz val="10"/>
        <rFont val="Arial"/>
        <family val="2"/>
        <charset val="1"/>
      </rPr>
      <t xml:space="preserve"> Dr.-Ing. Lukas Oppelt
</t>
    </r>
    <r>
      <rPr>
        <b/>
        <sz val="10"/>
        <rFont val="Arial"/>
        <family val="2"/>
      </rPr>
      <t>Version:</t>
    </r>
    <r>
      <rPr>
        <sz val="10"/>
        <rFont val="Arial"/>
        <family val="2"/>
        <charset val="1"/>
      </rPr>
      <t xml:space="preserve"> 1.1. (Stand: April 2026)
</t>
    </r>
  </si>
  <si>
    <t>Kontakt:</t>
  </si>
  <si>
    <t>tool@grubenwassergeothermie.de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</si>
</sst>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6" formatCode="#,##0\ &quot;€&quot;;[Red]\-#,##0\ &quot;€&quot;"/>
    <numFmt numFmtId="44" formatCode="_-* #,##0.00\ &quot;€&quot;_-;\-* #,##0.00\ &quot;€&quot;_-;_-* &quot;-&quot;??\ &quot;€&quot;_-;_-@_-"/>
    <numFmt numFmtId="164" formatCode="0&quot; °C&quot;"/>
    <numFmt numFmtId="165" formatCode="0&quot; m³/h&quot;"/>
    <numFmt numFmtId="166" formatCode="0.0&quot; µg/l&quot;"/>
    <numFmt numFmtId="167" formatCode="&quot;von  &quot;#"/>
    <numFmt numFmtId="168" formatCode="&quot;bis  &quot;#"/>
    <numFmt numFmtId="169" formatCode="&quot;von  &quot;#&quot; °C&quot;"/>
    <numFmt numFmtId="170" formatCode="0.00&quot; °C&quot;"/>
    <numFmt numFmtId="171" formatCode="0.0&quot; m³/h&quot;"/>
    <numFmt numFmtId="172" formatCode="0.00&quot; K&quot;"/>
    <numFmt numFmtId="173" formatCode="0&quot; m&quot;"/>
    <numFmt numFmtId="174" formatCode="0.00&quot; m/s&quot;"/>
    <numFmt numFmtId="175" formatCode="0.#&quot; °C&quot;"/>
    <numFmt numFmtId="176" formatCode="0.0000&quot; m&quot;"/>
    <numFmt numFmtId="177" formatCode="#.00"/>
    <numFmt numFmtId="178" formatCode="0.0000"/>
    <numFmt numFmtId="179" formatCode="0.000"/>
    <numFmt numFmtId="180" formatCode="0.00&quot; bar&quot;"/>
    <numFmt numFmtId="181" formatCode="0.00&quot; mg/l&quot;"/>
    <numFmt numFmtId="182" formatCode="0.000000&quot; bar&quot;"/>
    <numFmt numFmtId="183" formatCode="0.000000000&quot; atm&quot;"/>
    <numFmt numFmtId="184" formatCode="0.0&quot; mg/l&quot;"/>
    <numFmt numFmtId="185" formatCode="0.0000&quot; µg/l&quot;"/>
    <numFmt numFmtId="186" formatCode="0.000000"/>
    <numFmt numFmtId="187" formatCode="0&quot; kW&quot;"/>
    <numFmt numFmtId="188" formatCode="0&quot; kW/(a·m)&quot;"/>
    <numFmt numFmtId="189" formatCode="0&quot; a&quot;"/>
    <numFmt numFmtId="190" formatCode="0.00&quot; m&quot;"/>
    <numFmt numFmtId="191" formatCode="0.00&quot; h/a&quot;"/>
    <numFmt numFmtId="192" formatCode="0.00&quot; a&quot;"/>
    <numFmt numFmtId="193" formatCode="0&quot; kWh/(a·m)&quot;"/>
    <numFmt numFmtId="194" formatCode="0.00&quot; Pkt&quot;"/>
    <numFmt numFmtId="195" formatCode="0&quot; kgCO2/a&quot;"/>
    <numFmt numFmtId="196" formatCode="0.0&quot; mV&quot;"/>
    <numFmt numFmtId="197" formatCode="0.00&quot; kW&quot;"/>
    <numFmt numFmtId="198" formatCode="0.00&quot; MWh&quot;"/>
    <numFmt numFmtId="199" formatCode="0.00&quot; €/kWh&quot;"/>
    <numFmt numFmtId="200" formatCode="0.00&quot; kgCO2/kWh&quot;"/>
    <numFmt numFmtId="201" formatCode="###,###&quot; kgCO2/a&quot;"/>
    <numFmt numFmtId="202" formatCode="0&quot; h&quot;"/>
    <numFmt numFmtId="203" formatCode="###,###&quot; h&quot;"/>
    <numFmt numFmtId="204" formatCode="0.0%"/>
    <numFmt numFmtId="205" formatCode="0.00&quot; °&quot;"/>
    <numFmt numFmtId="206" formatCode="0.00&quot; µm&quot;"/>
    <numFmt numFmtId="207" formatCode="0.00&quot; mJ/m²&quot;"/>
    <numFmt numFmtId="208" formatCode="0.00&quot; kgCO2/a&quot;"/>
    <numFmt numFmtId="209" formatCode="0.00&quot; €/a&quot;"/>
    <numFmt numFmtId="210" formatCode="#,###&quot; kgCO2/a&quot;"/>
    <numFmt numFmtId="211" formatCode="0&quot; MWh&quot;"/>
    <numFmt numFmtId="212" formatCode="#,##0&quot; h&quot;"/>
  </numFmts>
  <fonts count="58" x14ac:knownFonts="1">
    <font>
      <sz val="10"/>
      <name val="Arial"/>
      <family val="2"/>
      <charset val="1"/>
    </font>
    <font>
      <sz val="10"/>
      <color rgb="FF006600"/>
      <name val="Arial"/>
      <family val="2"/>
      <charset val="1"/>
    </font>
    <font>
      <b/>
      <sz val="11"/>
      <color rgb="FFE0E0E0"/>
      <name val="Arial"/>
      <family val="2"/>
      <charset val="1"/>
    </font>
    <font>
      <b/>
      <sz val="12"/>
      <color rgb="FFE53935"/>
      <name val="Arial"/>
      <family val="2"/>
      <charset val="1"/>
    </font>
    <font>
      <sz val="10"/>
      <color rgb="FFFAFAFA"/>
      <name val="Arial"/>
      <family val="2"/>
      <charset val="1"/>
    </font>
    <font>
      <sz val="10"/>
      <color rgb="FFFFFFFF"/>
      <name val="Arial"/>
      <family val="2"/>
      <charset val="1"/>
    </font>
    <font>
      <b/>
      <sz val="10"/>
      <name val="Arial"/>
      <family val="2"/>
      <charset val="1"/>
    </font>
    <font>
      <b/>
      <sz val="10"/>
      <color rgb="FF006600"/>
      <name val="Arial"/>
      <family val="2"/>
      <charset val="1"/>
    </font>
    <font>
      <b/>
      <sz val="10"/>
      <color rgb="FF000000"/>
      <name val="Calibri"/>
      <family val="2"/>
      <charset val="1"/>
    </font>
    <font>
      <sz val="10"/>
      <color rgb="FF000000"/>
      <name val="Calibri"/>
      <family val="2"/>
      <charset val="1"/>
    </font>
    <font>
      <sz val="12"/>
      <name val="Arial"/>
      <family val="2"/>
      <charset val="1"/>
    </font>
    <font>
      <b/>
      <sz val="11"/>
      <name val="Arial"/>
      <family val="2"/>
      <charset val="1"/>
    </font>
    <font>
      <b/>
      <sz val="16"/>
      <name val="Arial"/>
      <family val="2"/>
      <charset val="1"/>
    </font>
    <font>
      <sz val="16"/>
      <name val="Arial"/>
      <family val="2"/>
      <charset val="1"/>
    </font>
    <font>
      <sz val="11"/>
      <name val="Arial"/>
      <family val="2"/>
      <charset val="1"/>
    </font>
    <font>
      <sz val="10"/>
      <color rgb="FFC0C0C0"/>
      <name val="Arial"/>
      <family val="2"/>
      <charset val="1"/>
    </font>
    <font>
      <sz val="10"/>
      <name val="Arial"/>
      <family val="2"/>
    </font>
    <font>
      <sz val="10"/>
      <name val="Arial"/>
      <family val="2"/>
      <charset val="1"/>
    </font>
    <font>
      <b/>
      <sz val="11"/>
      <color theme="1"/>
      <name val="Calibri"/>
      <family val="2"/>
      <scheme val="minor"/>
    </font>
    <font>
      <b/>
      <sz val="10"/>
      <name val="Arial"/>
      <family val="2"/>
    </font>
    <font>
      <sz val="11"/>
      <color indexed="8"/>
      <name val="Calibri"/>
      <family val="2"/>
      <scheme val="minor"/>
    </font>
    <font>
      <sz val="8"/>
      <name val="Arial"/>
      <family val="2"/>
      <charset val="1"/>
    </font>
    <font>
      <sz val="10"/>
      <color theme="0"/>
      <name val="Arial"/>
      <family val="2"/>
      <charset val="1"/>
    </font>
    <font>
      <sz val="9"/>
      <color indexed="81"/>
      <name val="Segoe UI"/>
      <family val="2"/>
    </font>
    <font>
      <b/>
      <sz val="9"/>
      <color indexed="81"/>
      <name val="Segoe UI"/>
      <family val="2"/>
    </font>
    <font>
      <b/>
      <sz val="10"/>
      <color indexed="81"/>
      <name val="Arial"/>
      <family val="2"/>
    </font>
    <font>
      <sz val="10"/>
      <color indexed="81"/>
      <name val="Arial"/>
      <family val="2"/>
    </font>
    <font>
      <sz val="10"/>
      <color rgb="FFFF0000"/>
      <name val="Arial"/>
      <family val="2"/>
      <charset val="1"/>
    </font>
    <font>
      <sz val="11"/>
      <color rgb="FF006100"/>
      <name val="Calibri"/>
      <family val="2"/>
      <scheme val="minor"/>
    </font>
    <font>
      <b/>
      <i/>
      <sz val="11"/>
      <color theme="1"/>
      <name val="Calibri"/>
      <family val="2"/>
      <scheme val="minor"/>
    </font>
    <font>
      <b/>
      <vertAlign val="superscript"/>
      <sz val="11"/>
      <color theme="1"/>
      <name val="Calibri"/>
      <family val="2"/>
      <scheme val="minor"/>
    </font>
    <font>
      <b/>
      <i/>
      <vertAlign val="subscript"/>
      <sz val="11"/>
      <color theme="1"/>
      <name val="Calibri"/>
      <family val="2"/>
      <scheme val="minor"/>
    </font>
    <font>
      <b/>
      <vertAlign val="subscript"/>
      <sz val="11"/>
      <color theme="1"/>
      <name val="Calibri"/>
      <family val="2"/>
      <scheme val="minor"/>
    </font>
    <font>
      <b/>
      <sz val="10"/>
      <color theme="0"/>
      <name val="Arial"/>
      <family val="2"/>
      <charset val="1"/>
    </font>
    <font>
      <b/>
      <sz val="10"/>
      <color theme="0"/>
      <name val="Arial"/>
      <family val="2"/>
    </font>
    <font>
      <sz val="10"/>
      <color rgb="FFC00000"/>
      <name val="Arial"/>
      <family val="2"/>
      <charset val="1"/>
    </font>
    <font>
      <i/>
      <sz val="10"/>
      <name val="Arial"/>
      <family val="2"/>
    </font>
    <font>
      <u/>
      <sz val="10"/>
      <color theme="10"/>
      <name val="Arial"/>
      <family val="2"/>
      <charset val="1"/>
    </font>
    <font>
      <b/>
      <sz val="11"/>
      <name val="Arial"/>
      <family val="2"/>
    </font>
    <font>
      <b/>
      <sz val="10"/>
      <color theme="3" tint="0.39997558519241921"/>
      <name val="Arial"/>
      <family val="2"/>
    </font>
    <font>
      <i/>
      <sz val="9"/>
      <color indexed="81"/>
      <name val="Segoe UI"/>
      <family val="2"/>
    </font>
    <font>
      <vertAlign val="subscript"/>
      <sz val="10"/>
      <name val="Arial"/>
      <family val="2"/>
    </font>
    <font>
      <b/>
      <sz val="24"/>
      <name val="Arial"/>
      <family val="2"/>
    </font>
    <font>
      <b/>
      <sz val="16"/>
      <name val="Arial"/>
      <family val="2"/>
    </font>
    <font>
      <sz val="11"/>
      <color rgb="FFFF0000"/>
      <name val="Calibri"/>
      <family val="2"/>
      <scheme val="minor"/>
    </font>
    <font>
      <sz val="11"/>
      <color rgb="FFFFC000"/>
      <name val="Calibri"/>
      <family val="2"/>
      <scheme val="minor"/>
    </font>
    <font>
      <sz val="11"/>
      <color theme="7"/>
      <name val="Calibri"/>
      <family val="2"/>
      <scheme val="minor"/>
    </font>
    <font>
      <sz val="11"/>
      <name val="Calibri"/>
      <family val="2"/>
      <scheme val="minor"/>
    </font>
    <font>
      <b/>
      <u/>
      <sz val="10"/>
      <name val="Arial"/>
      <family val="2"/>
    </font>
    <font>
      <sz val="9"/>
      <name val="Arial"/>
      <family val="2"/>
      <charset val="1"/>
    </font>
    <font>
      <sz val="10"/>
      <color theme="0"/>
      <name val="Arial"/>
      <family val="2"/>
    </font>
    <font>
      <b/>
      <sz val="28"/>
      <name val="Arial"/>
      <family val="2"/>
    </font>
    <font>
      <sz val="12"/>
      <color theme="1"/>
      <name val="Calibri"/>
      <family val="2"/>
      <scheme val="minor"/>
    </font>
    <font>
      <i/>
      <vertAlign val="subscript"/>
      <sz val="10"/>
      <name val="Arial"/>
      <family val="2"/>
    </font>
    <font>
      <sz val="10"/>
      <color rgb="FFFC4514"/>
      <name val="Arial"/>
      <family val="2"/>
      <charset val="1"/>
    </font>
    <font>
      <u/>
      <sz val="10"/>
      <color theme="0"/>
      <name val="Arial"/>
      <family val="2"/>
      <charset val="1"/>
    </font>
    <font>
      <b/>
      <sz val="12"/>
      <name val="Arial"/>
      <family val="2"/>
    </font>
    <font>
      <b/>
      <sz val="18"/>
      <name val="Arial"/>
      <family val="2"/>
    </font>
  </fonts>
  <fills count="64">
    <fill>
      <patternFill patternType="none"/>
    </fill>
    <fill>
      <patternFill patternType="gray125"/>
    </fill>
    <fill>
      <patternFill patternType="solid">
        <fgColor rgb="FFCCFFCC"/>
        <bgColor rgb="FFEEEEEE"/>
      </patternFill>
    </fill>
    <fill>
      <patternFill patternType="solid">
        <fgColor rgb="FFE0E0E0"/>
        <bgColor rgb="FFDDDDDD"/>
      </patternFill>
    </fill>
    <fill>
      <patternFill patternType="solid">
        <fgColor rgb="FFFFAB91"/>
        <bgColor rgb="FFFF9696"/>
      </patternFill>
    </fill>
    <fill>
      <patternFill patternType="solid">
        <fgColor rgb="FFFFFFFF"/>
        <bgColor rgb="FFFAFAFA"/>
      </patternFill>
    </fill>
    <fill>
      <patternFill patternType="solid">
        <fgColor rgb="FFC8C7C8"/>
        <bgColor rgb="FFC0C0C0"/>
      </patternFill>
    </fill>
    <fill>
      <patternFill patternType="solid">
        <fgColor rgb="FFDC85E9"/>
        <bgColor rgb="FFCE93D8"/>
      </patternFill>
    </fill>
    <fill>
      <patternFill patternType="mediumGray">
        <fgColor rgb="FF00BDFF"/>
        <bgColor rgb="FF00BFFF"/>
      </patternFill>
    </fill>
    <fill>
      <patternFill patternType="solid">
        <fgColor rgb="FF81C784"/>
        <bgColor rgb="FF77BC65"/>
      </patternFill>
    </fill>
    <fill>
      <patternFill patternType="solid">
        <fgColor rgb="FFFFFF6D"/>
        <bgColor rgb="FFFFF59D"/>
      </patternFill>
    </fill>
    <fill>
      <patternFill patternType="solid">
        <fgColor rgb="FFFFDBB6"/>
        <bgColor rgb="FFF9CFB5"/>
      </patternFill>
    </fill>
    <fill>
      <patternFill patternType="solid">
        <fgColor rgb="FFFAFAFA"/>
        <bgColor rgb="FFFFFFFF"/>
      </patternFill>
    </fill>
    <fill>
      <patternFill patternType="solid">
        <fgColor rgb="FFEEEEEE"/>
        <bgColor rgb="FFFAFAFA"/>
      </patternFill>
    </fill>
    <fill>
      <patternFill patternType="solid">
        <fgColor rgb="FFFFFF00"/>
        <bgColor rgb="FFFFD320"/>
      </patternFill>
    </fill>
    <fill>
      <patternFill patternType="solid">
        <fgColor rgb="FFFFBB59"/>
        <bgColor rgb="FFFFCC80"/>
      </patternFill>
    </fill>
    <fill>
      <patternFill patternType="solid">
        <fgColor rgb="FFF17171"/>
        <bgColor rgb="FFFF9696"/>
      </patternFill>
    </fill>
    <fill>
      <patternFill patternType="solid">
        <fgColor rgb="FF81D41A"/>
        <bgColor rgb="FF77BC65"/>
      </patternFill>
    </fill>
    <fill>
      <patternFill patternType="solid">
        <fgColor rgb="FFDDDDDD"/>
        <bgColor rgb="FFE0E0E0"/>
      </patternFill>
    </fill>
    <fill>
      <patternFill patternType="solid">
        <fgColor rgb="FFAED581"/>
        <bgColor rgb="FF92E285"/>
      </patternFill>
    </fill>
    <fill>
      <patternFill patternType="solid">
        <fgColor rgb="FF0000EE"/>
        <bgColor rgb="FF004586"/>
      </patternFill>
    </fill>
    <fill>
      <patternFill patternType="solid">
        <fgColor rgb="FFFC5C00"/>
        <bgColor rgb="FFF84711"/>
      </patternFill>
    </fill>
    <fill>
      <patternFill patternType="solid">
        <fgColor rgb="FFFFD74C"/>
        <bgColor rgb="FFFFD320"/>
      </patternFill>
    </fill>
    <fill>
      <patternFill patternType="solid">
        <fgColor rgb="FF4FAE1D"/>
        <bgColor rgb="FF66BB6A"/>
      </patternFill>
    </fill>
    <fill>
      <patternFill patternType="solid">
        <fgColor rgb="FFFF9600"/>
        <bgColor rgb="FFFFBB59"/>
      </patternFill>
    </fill>
    <fill>
      <patternFill patternType="solid">
        <fgColor rgb="FFE327FF"/>
        <bgColor rgb="FFE53935"/>
      </patternFill>
    </fill>
    <fill>
      <patternFill patternType="solid">
        <fgColor theme="6"/>
        <bgColor indexed="64"/>
      </patternFill>
    </fill>
    <fill>
      <patternFill patternType="solid">
        <fgColor rgb="FFC00000"/>
        <bgColor indexed="64"/>
      </patternFill>
    </fill>
    <fill>
      <patternFill patternType="solid">
        <fgColor theme="0"/>
        <bgColor indexed="64"/>
      </patternFill>
    </fill>
    <fill>
      <patternFill patternType="solid">
        <fgColor theme="0"/>
        <bgColor rgb="FFFFF59D"/>
      </patternFill>
    </fill>
    <fill>
      <patternFill patternType="solid">
        <fgColor rgb="FF00B0F0"/>
        <bgColor rgb="FFFFF59D"/>
      </patternFill>
    </fill>
    <fill>
      <patternFill patternType="mediumGray">
        <fgColor rgb="FF00BDFF"/>
        <bgColor rgb="FF00B0F0"/>
      </patternFill>
    </fill>
    <fill>
      <patternFill patternType="solid">
        <fgColor theme="0" tint="-4.9989318521683403E-2"/>
        <bgColor rgb="FFFFF59D"/>
      </patternFill>
    </fill>
    <fill>
      <patternFill patternType="solid">
        <fgColor rgb="FFC6EFCE"/>
      </patternFill>
    </fill>
    <fill>
      <patternFill patternType="solid">
        <fgColor theme="7" tint="0.79998168889431442"/>
        <bgColor indexed="64"/>
      </patternFill>
    </fill>
    <fill>
      <patternFill patternType="solid">
        <fgColor theme="6" tint="0.79998168889431442"/>
        <bgColor indexed="64"/>
      </patternFill>
    </fill>
    <fill>
      <patternFill patternType="solid">
        <fgColor rgb="FFC00000"/>
        <bgColor rgb="FF00BDFF"/>
      </patternFill>
    </fill>
    <fill>
      <patternFill patternType="solid">
        <fgColor rgb="FFFFFF6D"/>
        <bgColor rgb="FFFAFAFA"/>
      </patternFill>
    </fill>
    <fill>
      <patternFill patternType="solid">
        <fgColor theme="6" tint="0.59999389629810485"/>
        <bgColor rgb="FFFFF59D"/>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C85E9"/>
        <bgColor indexed="64"/>
      </patternFill>
    </fill>
    <fill>
      <patternFill patternType="solid">
        <fgColor rgb="FF00BFFF"/>
        <bgColor indexed="64"/>
      </patternFill>
    </fill>
    <fill>
      <patternFill patternType="solid">
        <fgColor rgb="FFDC85E9"/>
        <bgColor rgb="FFFFF59D"/>
      </patternFill>
    </fill>
    <fill>
      <patternFill patternType="solid">
        <fgColor rgb="FFFFFF6D"/>
        <bgColor indexed="64"/>
      </patternFill>
    </fill>
    <fill>
      <patternFill patternType="solid">
        <fgColor rgb="FF81C785"/>
        <bgColor indexed="64"/>
      </patternFill>
    </fill>
    <fill>
      <patternFill patternType="solid">
        <fgColor rgb="FF81C785"/>
        <bgColor rgb="FFCE93D8"/>
      </patternFill>
    </fill>
    <fill>
      <patternFill patternType="solid">
        <fgColor rgb="FFF17171"/>
        <bgColor indexed="64"/>
      </patternFill>
    </fill>
    <fill>
      <patternFill patternType="solid">
        <fgColor rgb="FFFFBB54"/>
        <bgColor indexed="64"/>
      </patternFill>
    </fill>
    <fill>
      <patternFill patternType="solid">
        <fgColor theme="0" tint="-0.14999847407452621"/>
        <bgColor rgb="FFFAFAFA"/>
      </patternFill>
    </fill>
    <fill>
      <patternFill patternType="solid">
        <fgColor rgb="FF00B0F0"/>
        <bgColor indexed="64"/>
      </patternFill>
    </fill>
    <fill>
      <patternFill patternType="solid">
        <fgColor rgb="FFFFFFFF"/>
        <bgColor indexed="64"/>
      </patternFill>
    </fill>
    <fill>
      <patternFill patternType="solid">
        <fgColor theme="0"/>
        <bgColor rgb="FFC0C0C0"/>
      </patternFill>
    </fill>
    <fill>
      <patternFill patternType="solid">
        <fgColor theme="0"/>
        <bgColor rgb="FFFAFAFA"/>
      </patternFill>
    </fill>
    <fill>
      <patternFill patternType="solid">
        <fgColor theme="0"/>
        <bgColor rgb="FFEEEEEE"/>
      </patternFill>
    </fill>
    <fill>
      <patternFill patternType="solid">
        <fgColor theme="9"/>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FF"/>
        <bgColor rgb="FFFFF59D"/>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bottom style="hair">
        <color auto="1"/>
      </bottom>
      <diagonal/>
    </border>
    <border>
      <left style="hair">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auto="1"/>
      </top>
      <bottom style="medium">
        <color indexed="64"/>
      </bottom>
      <diagonal/>
    </border>
  </borders>
  <cellStyleXfs count="12">
    <xf numFmtId="0" fontId="0" fillId="0" borderId="0"/>
    <xf numFmtId="0" fontId="1" fillId="2" borderId="0" applyBorder="0" applyProtection="0">
      <alignment vertical="center"/>
    </xf>
    <xf numFmtId="0" fontId="2" fillId="3" borderId="0" applyBorder="0" applyProtection="0">
      <alignment horizontal="left" vertical="center" indent="1"/>
    </xf>
    <xf numFmtId="0" fontId="3" fillId="4" borderId="0" applyProtection="0">
      <alignment vertical="center"/>
    </xf>
    <xf numFmtId="0" fontId="4" fillId="0" borderId="0" applyBorder="0" applyProtection="0"/>
    <xf numFmtId="0" fontId="5" fillId="5" borderId="0" applyBorder="0" applyProtection="0"/>
    <xf numFmtId="9" fontId="17" fillId="0" borderId="0" applyFont="0" applyFill="0" applyBorder="0" applyAlignment="0" applyProtection="0"/>
    <xf numFmtId="0" fontId="20" fillId="0" borderId="0"/>
    <xf numFmtId="0" fontId="28" fillId="33" borderId="0" applyNumberFormat="0" applyBorder="0" applyAlignment="0" applyProtection="0"/>
    <xf numFmtId="0" fontId="37" fillId="0" borderId="0" applyNumberFormat="0" applyFill="0" applyBorder="0" applyAlignment="0" applyProtection="0"/>
    <xf numFmtId="44" fontId="17" fillId="0" borderId="0" applyFont="0" applyFill="0" applyBorder="0" applyAlignment="0" applyProtection="0"/>
    <xf numFmtId="0" fontId="52" fillId="0" borderId="0"/>
  </cellStyleXfs>
  <cellXfs count="747">
    <xf numFmtId="0" fontId="0" fillId="0" borderId="0" xfId="0"/>
    <xf numFmtId="0" fontId="0" fillId="0" borderId="0" xfId="0" applyFont="1" applyAlignment="1" applyProtection="1"/>
    <xf numFmtId="0" fontId="0" fillId="5" borderId="0" xfId="0" applyFont="1" applyFill="1" applyAlignment="1" applyProtection="1"/>
    <xf numFmtId="0" fontId="0" fillId="13" borderId="6" xfId="0" applyFont="1" applyFill="1" applyBorder="1" applyAlignment="1" applyProtection="1">
      <alignment horizontal="left" vertical="center" indent="1"/>
      <protection locked="0"/>
    </xf>
    <xf numFmtId="164" fontId="0" fillId="13" borderId="6" xfId="0" applyNumberFormat="1" applyFont="1" applyFill="1" applyBorder="1" applyAlignment="1" applyProtection="1">
      <alignment horizontal="left" vertical="center" indent="1"/>
      <protection locked="0"/>
    </xf>
    <xf numFmtId="165" fontId="0" fillId="13" borderId="6" xfId="0" applyNumberFormat="1" applyFont="1" applyFill="1" applyBorder="1" applyAlignment="1" applyProtection="1">
      <alignment horizontal="left" vertical="center" indent="1"/>
      <protection locked="0"/>
    </xf>
    <xf numFmtId="2" fontId="0" fillId="13" borderId="6" xfId="0" applyNumberFormat="1" applyFont="1" applyFill="1" applyBorder="1" applyAlignment="1" applyProtection="1">
      <alignment horizontal="left" vertical="center" indent="1"/>
      <protection locked="0"/>
    </xf>
    <xf numFmtId="166" fontId="0" fillId="13" borderId="6" xfId="0" applyNumberFormat="1" applyFont="1" applyFill="1" applyBorder="1" applyAlignment="1" applyProtection="1">
      <alignment horizontal="left" vertical="center" indent="1"/>
      <protection locked="0"/>
    </xf>
    <xf numFmtId="167" fontId="0" fillId="13" borderId="6" xfId="0" applyNumberFormat="1" applyFont="1" applyFill="1" applyBorder="1" applyAlignment="1" applyProtection="1">
      <alignment horizontal="left" vertical="center" indent="1"/>
      <protection locked="0"/>
    </xf>
    <xf numFmtId="168" fontId="0" fillId="13" borderId="8" xfId="0" applyNumberFormat="1" applyFont="1" applyFill="1" applyBorder="1" applyAlignment="1" applyProtection="1">
      <alignment horizontal="left" vertical="center" indent="1"/>
      <protection locked="0"/>
    </xf>
    <xf numFmtId="0" fontId="6" fillId="10" borderId="6" xfId="0" applyFont="1" applyFill="1" applyBorder="1" applyAlignment="1" applyProtection="1">
      <alignment horizontal="left" vertical="center" indent="1"/>
      <protection locked="0"/>
    </xf>
    <xf numFmtId="2" fontId="6" fillId="10" borderId="6" xfId="0" applyNumberFormat="1" applyFont="1" applyFill="1" applyBorder="1" applyAlignment="1" applyProtection="1">
      <alignment horizontal="left" vertical="center" indent="1"/>
      <protection locked="0"/>
    </xf>
    <xf numFmtId="2" fontId="6" fillId="6" borderId="6" xfId="0" applyNumberFormat="1" applyFont="1" applyFill="1" applyBorder="1" applyAlignment="1" applyProtection="1">
      <alignment horizontal="left" vertical="center" indent="1"/>
      <protection locked="0"/>
    </xf>
    <xf numFmtId="170" fontId="6" fillId="10" borderId="6" xfId="0" applyNumberFormat="1" applyFont="1" applyFill="1" applyBorder="1" applyAlignment="1" applyProtection="1">
      <alignment horizontal="left" vertical="center" indent="1"/>
      <protection locked="0"/>
    </xf>
    <xf numFmtId="171" fontId="6" fillId="10" borderId="6" xfId="0" applyNumberFormat="1" applyFont="1" applyFill="1" applyBorder="1" applyAlignment="1" applyProtection="1">
      <alignment horizontal="left" vertical="center" indent="1"/>
      <protection locked="0"/>
    </xf>
    <xf numFmtId="166" fontId="6" fillId="10" borderId="6" xfId="0" applyNumberFormat="1" applyFont="1" applyFill="1" applyBorder="1" applyAlignment="1" applyProtection="1">
      <alignment horizontal="left" vertical="center" indent="1"/>
      <protection locked="0"/>
    </xf>
    <xf numFmtId="0" fontId="6" fillId="0" borderId="1" xfId="0" applyFont="1" applyBorder="1" applyAlignment="1" applyProtection="1"/>
    <xf numFmtId="0" fontId="6" fillId="0" borderId="6" xfId="0" applyFont="1" applyBorder="1" applyAlignment="1" applyProtection="1"/>
    <xf numFmtId="10" fontId="6" fillId="0" borderId="6" xfId="0" applyNumberFormat="1" applyFont="1" applyBorder="1" applyAlignment="1" applyProtection="1"/>
    <xf numFmtId="0" fontId="0" fillId="18" borderId="14" xfId="0" applyFont="1" applyFill="1" applyBorder="1" applyAlignment="1" applyProtection="1"/>
    <xf numFmtId="0" fontId="0" fillId="0" borderId="15" xfId="0" applyFont="1" applyBorder="1" applyAlignment="1" applyProtection="1"/>
    <xf numFmtId="0" fontId="0" fillId="0" borderId="6" xfId="0" applyFont="1" applyBorder="1" applyAlignment="1" applyProtection="1"/>
    <xf numFmtId="0" fontId="0" fillId="0" borderId="11" xfId="0" applyFont="1" applyBorder="1" applyAlignment="1" applyProtection="1"/>
    <xf numFmtId="0" fontId="0" fillId="0" borderId="13" xfId="0" applyFont="1" applyBorder="1" applyAlignment="1" applyProtection="1"/>
    <xf numFmtId="0" fontId="0" fillId="0" borderId="4" xfId="0" applyFont="1" applyBorder="1" applyAlignment="1" applyProtection="1"/>
    <xf numFmtId="0" fontId="0" fillId="0" borderId="7" xfId="0" applyFont="1" applyBorder="1" applyAlignment="1" applyProtection="1"/>
    <xf numFmtId="2" fontId="0" fillId="0" borderId="7" xfId="0" applyNumberFormat="1" applyFont="1" applyBorder="1" applyAlignment="1" applyProtection="1"/>
    <xf numFmtId="0" fontId="0" fillId="0" borderId="5" xfId="0" applyFont="1" applyBorder="1" applyAlignment="1" applyProtection="1"/>
    <xf numFmtId="0" fontId="0" fillId="0" borderId="9" xfId="0" applyFont="1" applyBorder="1" applyAlignment="1" applyProtection="1"/>
    <xf numFmtId="0" fontId="0" fillId="0" borderId="10" xfId="0" applyFont="1" applyBorder="1" applyAlignment="1" applyProtection="1"/>
    <xf numFmtId="0" fontId="0" fillId="14" borderId="7" xfId="0" applyFont="1" applyFill="1" applyBorder="1" applyAlignment="1" applyProtection="1"/>
    <xf numFmtId="0" fontId="6" fillId="0" borderId="0" xfId="0" applyFont="1" applyAlignment="1" applyProtection="1"/>
    <xf numFmtId="0" fontId="0" fillId="0" borderId="12" xfId="0" applyFont="1" applyBorder="1" applyAlignment="1" applyProtection="1"/>
    <xf numFmtId="0" fontId="0" fillId="14" borderId="13" xfId="0" applyFont="1" applyFill="1" applyBorder="1" applyAlignment="1" applyProtection="1"/>
    <xf numFmtId="0" fontId="0" fillId="14" borderId="10" xfId="0" applyFont="1" applyFill="1" applyBorder="1" applyAlignment="1" applyProtection="1"/>
    <xf numFmtId="2" fontId="0" fillId="0" borderId="0" xfId="0" applyNumberFormat="1" applyFont="1" applyBorder="1" applyAlignment="1" applyProtection="1"/>
    <xf numFmtId="0" fontId="0" fillId="0" borderId="0" xfId="0" applyFont="1" applyBorder="1" applyAlignment="1" applyProtection="1"/>
    <xf numFmtId="0" fontId="10" fillId="0" borderId="0" xfId="0" applyFont="1" applyAlignment="1" applyProtection="1"/>
    <xf numFmtId="0" fontId="0" fillId="0" borderId="0" xfId="0" applyAlignment="1" applyProtection="1"/>
    <xf numFmtId="175" fontId="0" fillId="0" borderId="0" xfId="0" applyNumberFormat="1" applyFont="1" applyAlignment="1" applyProtection="1"/>
    <xf numFmtId="0" fontId="10" fillId="14" borderId="0" xfId="0" applyFont="1" applyFill="1" applyAlignment="1" applyProtection="1"/>
    <xf numFmtId="177" fontId="10" fillId="14" borderId="0" xfId="0" applyNumberFormat="1" applyFont="1" applyFill="1" applyAlignment="1" applyProtection="1"/>
    <xf numFmtId="170" fontId="10" fillId="14" borderId="0" xfId="0" applyNumberFormat="1" applyFont="1" applyFill="1" applyAlignment="1" applyProtection="1"/>
    <xf numFmtId="0" fontId="0" fillId="0" borderId="16" xfId="0" applyBorder="1" applyAlignment="1" applyProtection="1"/>
    <xf numFmtId="2" fontId="0" fillId="0" borderId="16" xfId="0" applyNumberFormat="1" applyBorder="1" applyAlignment="1" applyProtection="1"/>
    <xf numFmtId="178" fontId="0" fillId="0" borderId="16" xfId="0" applyNumberFormat="1" applyBorder="1" applyAlignment="1" applyProtection="1"/>
    <xf numFmtId="179" fontId="0" fillId="0" borderId="16" xfId="0" applyNumberFormat="1" applyBorder="1" applyAlignment="1" applyProtection="1"/>
    <xf numFmtId="11" fontId="0" fillId="0" borderId="16" xfId="0" applyNumberFormat="1" applyBorder="1" applyAlignment="1" applyProtection="1"/>
    <xf numFmtId="0" fontId="0" fillId="19" borderId="0" xfId="0" applyFont="1" applyFill="1" applyAlignment="1" applyProtection="1"/>
    <xf numFmtId="0" fontId="0" fillId="0" borderId="17" xfId="0" applyBorder="1" applyAlignment="1" applyProtection="1"/>
    <xf numFmtId="2" fontId="0" fillId="0" borderId="17" xfId="0" applyNumberFormat="1" applyBorder="1" applyAlignment="1" applyProtection="1"/>
    <xf numFmtId="178" fontId="0" fillId="0" borderId="17" xfId="0" applyNumberFormat="1" applyBorder="1" applyAlignment="1" applyProtection="1"/>
    <xf numFmtId="179" fontId="0" fillId="0" borderId="17" xfId="0" applyNumberFormat="1" applyBorder="1" applyAlignment="1" applyProtection="1"/>
    <xf numFmtId="11" fontId="0" fillId="0" borderId="17" xfId="0" applyNumberFormat="1" applyBorder="1" applyAlignment="1" applyProtection="1"/>
    <xf numFmtId="0" fontId="0" fillId="0" borderId="8" xfId="0" applyBorder="1" applyAlignment="1" applyProtection="1"/>
    <xf numFmtId="2" fontId="0" fillId="0" borderId="8" xfId="0" applyNumberFormat="1" applyBorder="1" applyAlignment="1" applyProtection="1"/>
    <xf numFmtId="178" fontId="0" fillId="0" borderId="8" xfId="0" applyNumberFormat="1" applyBorder="1" applyAlignment="1" applyProtection="1"/>
    <xf numFmtId="179" fontId="0" fillId="0" borderId="8" xfId="0" applyNumberFormat="1" applyBorder="1" applyAlignment="1" applyProtection="1"/>
    <xf numFmtId="11" fontId="0" fillId="0" borderId="8" xfId="0" applyNumberFormat="1" applyBorder="1" applyAlignment="1" applyProtection="1"/>
    <xf numFmtId="10" fontId="0" fillId="0" borderId="0" xfId="0" applyNumberFormat="1" applyAlignment="1" applyProtection="1"/>
    <xf numFmtId="0" fontId="12" fillId="6" borderId="5" xfId="0" applyFont="1" applyFill="1" applyBorder="1" applyAlignment="1" applyProtection="1">
      <alignment horizontal="left" vertical="center" indent="1"/>
    </xf>
    <xf numFmtId="0" fontId="12" fillId="6" borderId="9" xfId="0" applyFont="1" applyFill="1" applyBorder="1" applyAlignment="1" applyProtection="1">
      <alignment horizontal="left" vertical="center" indent="1"/>
    </xf>
    <xf numFmtId="0" fontId="13" fillId="6" borderId="9" xfId="0" applyFont="1" applyFill="1" applyBorder="1" applyAlignment="1" applyProtection="1">
      <alignment horizontal="left" vertical="center" indent="1"/>
    </xf>
    <xf numFmtId="0" fontId="6" fillId="20" borderId="6" xfId="0" applyFont="1" applyFill="1" applyBorder="1" applyAlignment="1" applyProtection="1"/>
    <xf numFmtId="0" fontId="6" fillId="21" borderId="6" xfId="0" applyFont="1" applyFill="1" applyBorder="1" applyAlignment="1" applyProtection="1"/>
    <xf numFmtId="0" fontId="6" fillId="22" borderId="6" xfId="0" applyFont="1" applyFill="1" applyBorder="1" applyAlignment="1" applyProtection="1"/>
    <xf numFmtId="0" fontId="6" fillId="23" borderId="6" xfId="0" applyFont="1" applyFill="1" applyBorder="1" applyAlignment="1" applyProtection="1"/>
    <xf numFmtId="0" fontId="14" fillId="5" borderId="4" xfId="0" applyFont="1" applyFill="1" applyBorder="1" applyAlignment="1" applyProtection="1"/>
    <xf numFmtId="0" fontId="15" fillId="0" borderId="0" xfId="0" applyFont="1" applyAlignment="1" applyProtection="1"/>
    <xf numFmtId="0" fontId="11" fillId="11" borderId="6" xfId="0" applyFont="1" applyFill="1" applyBorder="1" applyAlignment="1" applyProtection="1">
      <alignment horizontal="left" vertical="center" indent="1"/>
    </xf>
    <xf numFmtId="0" fontId="11" fillId="24" borderId="6" xfId="0" applyFont="1" applyFill="1" applyBorder="1" applyAlignment="1" applyProtection="1">
      <alignment horizontal="left" vertical="center" indent="1"/>
    </xf>
    <xf numFmtId="0" fontId="11" fillId="8" borderId="6" xfId="0" applyFont="1" applyFill="1" applyBorder="1" applyAlignment="1" applyProtection="1">
      <alignment horizontal="left" vertical="center" indent="1"/>
    </xf>
    <xf numFmtId="0" fontId="11" fillId="10" borderId="6" xfId="0" applyFont="1" applyFill="1" applyBorder="1" applyAlignment="1" applyProtection="1">
      <alignment horizontal="left" vertical="center" indent="1"/>
    </xf>
    <xf numFmtId="175" fontId="11" fillId="10" borderId="6" xfId="0" applyNumberFormat="1" applyFont="1" applyFill="1" applyBorder="1" applyAlignment="1" applyProtection="1">
      <alignment horizontal="left" vertical="center" indent="1"/>
    </xf>
    <xf numFmtId="174" fontId="11" fillId="10" borderId="6" xfId="0" applyNumberFormat="1" applyFont="1" applyFill="1" applyBorder="1" applyAlignment="1" applyProtection="1">
      <alignment horizontal="left" vertical="center" indent="1"/>
    </xf>
    <xf numFmtId="0" fontId="0" fillId="0" borderId="0" xfId="0" applyBorder="1" applyAlignment="1" applyProtection="1"/>
    <xf numFmtId="0" fontId="6" fillId="17" borderId="1" xfId="0" applyFont="1" applyFill="1" applyBorder="1" applyAlignment="1" applyProtection="1"/>
    <xf numFmtId="0" fontId="6" fillId="25" borderId="6" xfId="0" applyFont="1" applyFill="1" applyBorder="1" applyAlignment="1" applyProtection="1"/>
    <xf numFmtId="0" fontId="11" fillId="0" borderId="6" xfId="0" applyFont="1" applyBorder="1" applyAlignment="1" applyProtection="1">
      <alignment horizontal="center" vertical="center" indent="1"/>
    </xf>
    <xf numFmtId="0" fontId="6" fillId="17" borderId="0" xfId="0" applyFont="1" applyFill="1" applyAlignment="1" applyProtection="1"/>
    <xf numFmtId="0" fontId="6" fillId="0" borderId="6" xfId="0" applyFont="1" applyBorder="1" applyAlignment="1" applyProtection="1"/>
    <xf numFmtId="173" fontId="0" fillId="13" borderId="6" xfId="0" applyNumberFormat="1" applyFont="1" applyFill="1" applyBorder="1" applyAlignment="1" applyProtection="1">
      <alignment horizontal="left" vertical="center" indent="1"/>
      <protection locked="0"/>
    </xf>
    <xf numFmtId="9" fontId="0" fillId="0" borderId="0" xfId="6" applyFont="1"/>
    <xf numFmtId="9" fontId="0" fillId="0" borderId="0" xfId="0" applyNumberFormat="1"/>
    <xf numFmtId="0" fontId="6" fillId="17" borderId="4" xfId="0" applyFont="1" applyFill="1" applyBorder="1" applyAlignment="1" applyProtection="1"/>
    <xf numFmtId="0" fontId="19" fillId="0" borderId="6" xfId="0" applyFont="1" applyBorder="1" applyAlignment="1" applyProtection="1"/>
    <xf numFmtId="0" fontId="0" fillId="0" borderId="13" xfId="0" applyBorder="1"/>
    <xf numFmtId="0" fontId="0" fillId="0" borderId="8" xfId="0" applyBorder="1"/>
    <xf numFmtId="0" fontId="0" fillId="0" borderId="11" xfId="0" applyBorder="1"/>
    <xf numFmtId="0" fontId="0" fillId="0" borderId="3" xfId="0" applyBorder="1"/>
    <xf numFmtId="0" fontId="0" fillId="0" borderId="6" xfId="0" applyBorder="1"/>
    <xf numFmtId="0" fontId="0" fillId="0" borderId="1" xfId="0" applyBorder="1"/>
    <xf numFmtId="0" fontId="0" fillId="0" borderId="10" xfId="0" applyBorder="1"/>
    <xf numFmtId="0" fontId="0" fillId="0" borderId="16" xfId="0" applyBorder="1"/>
    <xf numFmtId="0" fontId="0" fillId="0" borderId="5" xfId="0" applyBorder="1"/>
    <xf numFmtId="0" fontId="6" fillId="28" borderId="0" xfId="0" applyFont="1" applyFill="1" applyBorder="1" applyAlignment="1" applyProtection="1">
      <alignment horizontal="left" vertical="center" indent="1"/>
      <protection locked="0"/>
    </xf>
    <xf numFmtId="0" fontId="6" fillId="29" borderId="0" xfId="0" applyFont="1" applyFill="1" applyBorder="1" applyAlignment="1" applyProtection="1">
      <alignment horizontal="left" vertical="center" indent="1"/>
      <protection locked="0"/>
    </xf>
    <xf numFmtId="180" fontId="6" fillId="10" borderId="6" xfId="0" applyNumberFormat="1" applyFont="1" applyFill="1" applyBorder="1" applyAlignment="1" applyProtection="1">
      <alignment horizontal="left" vertical="center" indent="1"/>
      <protection locked="0"/>
    </xf>
    <xf numFmtId="181" fontId="6" fillId="10" borderId="16" xfId="0" applyNumberFormat="1" applyFont="1" applyFill="1" applyBorder="1" applyAlignment="1" applyProtection="1">
      <alignment horizontal="left" vertical="center" indent="1"/>
      <protection locked="0"/>
    </xf>
    <xf numFmtId="0" fontId="0" fillId="0" borderId="6" xfId="0" applyFill="1" applyBorder="1"/>
    <xf numFmtId="0" fontId="0" fillId="0" borderId="8" xfId="0" applyFill="1" applyBorder="1"/>
    <xf numFmtId="0" fontId="0" fillId="0" borderId="16" xfId="0" applyFill="1" applyBorder="1"/>
    <xf numFmtId="0" fontId="27" fillId="0" borderId="0" xfId="0" applyFont="1"/>
    <xf numFmtId="0" fontId="19" fillId="0" borderId="0" xfId="0" applyFont="1" applyAlignment="1" applyProtection="1"/>
    <xf numFmtId="0" fontId="0" fillId="0" borderId="0" xfId="0" applyAlignment="1"/>
    <xf numFmtId="0" fontId="18" fillId="0" borderId="0" xfId="0" applyFont="1" applyAlignment="1">
      <alignment horizontal="center" vertical="center" wrapText="1"/>
    </xf>
    <xf numFmtId="0" fontId="29" fillId="0" borderId="0" xfId="0" applyFont="1" applyAlignment="1">
      <alignment horizontal="center" vertical="center" wrapText="1"/>
    </xf>
    <xf numFmtId="0" fontId="31" fillId="0" borderId="0" xfId="0" applyFont="1" applyAlignment="1">
      <alignment horizontal="center" vertical="center" wrapText="1"/>
    </xf>
    <xf numFmtId="0" fontId="0" fillId="0" borderId="0" xfId="0" applyAlignment="1">
      <alignment vertical="center" wrapText="1"/>
    </xf>
    <xf numFmtId="0" fontId="0" fillId="34" borderId="0" xfId="0" applyFill="1" applyAlignment="1">
      <alignment vertical="center" wrapText="1"/>
    </xf>
    <xf numFmtId="0" fontId="0" fillId="34" borderId="0" xfId="0" applyFill="1"/>
    <xf numFmtId="0" fontId="16" fillId="0" borderId="0" xfId="0" applyFont="1"/>
    <xf numFmtId="2" fontId="19" fillId="0" borderId="6" xfId="0" applyNumberFormat="1" applyFont="1" applyBorder="1" applyAlignment="1" applyProtection="1"/>
    <xf numFmtId="0" fontId="0" fillId="5" borderId="0" xfId="0" applyFont="1" applyFill="1" applyBorder="1" applyAlignment="1" applyProtection="1"/>
    <xf numFmtId="0" fontId="28" fillId="0" borderId="0" xfId="8" applyFill="1"/>
    <xf numFmtId="176" fontId="0" fillId="13" borderId="6" xfId="0" applyNumberFormat="1" applyFont="1" applyFill="1" applyBorder="1" applyAlignment="1" applyProtection="1">
      <alignment horizontal="left" vertical="center" indent="1"/>
      <protection locked="0"/>
    </xf>
    <xf numFmtId="0" fontId="0" fillId="28" borderId="0" xfId="0" applyFont="1" applyFill="1" applyAlignment="1" applyProtection="1"/>
    <xf numFmtId="0" fontId="0" fillId="28" borderId="0" xfId="0" applyFill="1"/>
    <xf numFmtId="176" fontId="0" fillId="13" borderId="1" xfId="0" applyNumberFormat="1" applyFont="1" applyFill="1" applyBorder="1" applyAlignment="1" applyProtection="1">
      <alignment horizontal="left" vertical="center" indent="1"/>
      <protection locked="0"/>
    </xf>
    <xf numFmtId="0" fontId="0" fillId="28" borderId="5" xfId="0" applyFont="1" applyFill="1" applyBorder="1" applyAlignment="1" applyProtection="1"/>
    <xf numFmtId="0" fontId="0" fillId="28" borderId="10" xfId="0" applyFill="1" applyBorder="1"/>
    <xf numFmtId="0" fontId="0" fillId="28" borderId="4" xfId="0" applyFont="1" applyFill="1" applyBorder="1" applyAlignment="1" applyProtection="1"/>
    <xf numFmtId="0" fontId="0" fillId="28" borderId="7" xfId="0" applyFill="1" applyBorder="1"/>
    <xf numFmtId="0" fontId="0" fillId="28" borderId="11" xfId="0" applyFont="1" applyFill="1" applyBorder="1" applyAlignment="1" applyProtection="1"/>
    <xf numFmtId="0" fontId="0" fillId="28" borderId="13" xfId="0" applyFont="1" applyFill="1" applyBorder="1" applyAlignment="1" applyProtection="1"/>
    <xf numFmtId="0" fontId="0" fillId="28" borderId="0" xfId="0" applyFont="1" applyFill="1" applyBorder="1" applyAlignment="1" applyProtection="1"/>
    <xf numFmtId="0" fontId="22" fillId="28" borderId="0" xfId="0" applyFont="1" applyFill="1" applyAlignment="1" applyProtection="1"/>
    <xf numFmtId="0" fontId="0" fillId="28" borderId="0" xfId="0" applyFont="1" applyFill="1" applyBorder="1" applyAlignment="1" applyProtection="1">
      <alignment horizontal="left" indent="1"/>
    </xf>
    <xf numFmtId="0" fontId="22" fillId="28" borderId="0" xfId="0" applyFont="1" applyFill="1" applyBorder="1" applyAlignment="1" applyProtection="1">
      <alignment horizontal="left" indent="1"/>
    </xf>
    <xf numFmtId="0" fontId="0" fillId="26" borderId="6" xfId="0" applyFill="1" applyBorder="1"/>
    <xf numFmtId="0" fontId="0" fillId="0" borderId="0" xfId="0" applyAlignment="1">
      <alignment wrapText="1"/>
    </xf>
    <xf numFmtId="0" fontId="33" fillId="36" borderId="6" xfId="0" applyFont="1" applyFill="1" applyBorder="1" applyAlignment="1" applyProtection="1">
      <alignment horizontal="left" vertical="center" indent="1"/>
      <protection locked="0"/>
    </xf>
    <xf numFmtId="0" fontId="0" fillId="28" borderId="0" xfId="0" applyFill="1" applyBorder="1"/>
    <xf numFmtId="0" fontId="36" fillId="0" borderId="0" xfId="0" applyFont="1" applyAlignment="1"/>
    <xf numFmtId="0" fontId="6" fillId="0" borderId="0" xfId="0" applyFont="1" applyBorder="1" applyAlignment="1" applyProtection="1"/>
    <xf numFmtId="0" fontId="19" fillId="35" borderId="6" xfId="0" applyFont="1" applyFill="1" applyBorder="1" applyAlignment="1" applyProtection="1"/>
    <xf numFmtId="0" fontId="0" fillId="39" borderId="12" xfId="0" applyFont="1" applyFill="1" applyBorder="1" applyAlignment="1" applyProtection="1">
      <alignment horizontal="right"/>
    </xf>
    <xf numFmtId="0" fontId="9" fillId="39" borderId="6" xfId="0" applyFont="1" applyFill="1" applyBorder="1" applyAlignment="1" applyProtection="1">
      <alignment horizontal="right"/>
    </xf>
    <xf numFmtId="0" fontId="0" fillId="39" borderId="6" xfId="0" applyFont="1" applyFill="1" applyBorder="1" applyAlignment="1" applyProtection="1"/>
    <xf numFmtId="2" fontId="0" fillId="40" borderId="6" xfId="0" applyNumberFormat="1" applyFont="1" applyFill="1" applyBorder="1" applyAlignment="1" applyProtection="1"/>
    <xf numFmtId="1" fontId="0" fillId="40" borderId="6" xfId="0" applyNumberFormat="1" applyFont="1" applyFill="1" applyBorder="1" applyAlignment="1" applyProtection="1"/>
    <xf numFmtId="0" fontId="0" fillId="28" borderId="16" xfId="0" applyFont="1" applyFill="1" applyBorder="1" applyAlignment="1" applyProtection="1"/>
    <xf numFmtId="2" fontId="0" fillId="28" borderId="0" xfId="0" applyNumberFormat="1" applyFont="1" applyFill="1" applyBorder="1" applyAlignment="1" applyProtection="1"/>
    <xf numFmtId="0" fontId="0" fillId="28" borderId="12" xfId="0" applyFont="1" applyFill="1" applyBorder="1" applyAlignment="1" applyProtection="1"/>
    <xf numFmtId="0" fontId="0" fillId="28" borderId="7" xfId="0" applyFont="1" applyFill="1" applyBorder="1" applyAlignment="1" applyProtection="1"/>
    <xf numFmtId="2" fontId="0" fillId="28" borderId="7" xfId="0" applyNumberFormat="1" applyFont="1" applyFill="1" applyBorder="1" applyAlignment="1" applyProtection="1"/>
    <xf numFmtId="0" fontId="6" fillId="28" borderId="0" xfId="0" applyFont="1" applyFill="1" applyBorder="1" applyAlignment="1" applyProtection="1"/>
    <xf numFmtId="1" fontId="0" fillId="40" borderId="1" xfId="0" applyNumberFormat="1" applyFont="1" applyFill="1" applyBorder="1" applyAlignment="1" applyProtection="1"/>
    <xf numFmtId="2" fontId="0" fillId="40" borderId="16" xfId="0" applyNumberFormat="1" applyFont="1" applyFill="1" applyBorder="1" applyAlignment="1" applyProtection="1"/>
    <xf numFmtId="0" fontId="0" fillId="28" borderId="1" xfId="0" applyFont="1" applyFill="1" applyBorder="1" applyAlignment="1" applyProtection="1"/>
    <xf numFmtId="0" fontId="0" fillId="28" borderId="2" xfId="0" applyFont="1" applyFill="1" applyBorder="1" applyAlignment="1" applyProtection="1"/>
    <xf numFmtId="0" fontId="0" fillId="28" borderId="3" xfId="0" applyFont="1" applyFill="1" applyBorder="1" applyAlignment="1" applyProtection="1"/>
    <xf numFmtId="2" fontId="19" fillId="35" borderId="6" xfId="0" applyNumberFormat="1" applyFont="1" applyFill="1" applyBorder="1" applyAlignment="1" applyProtection="1"/>
    <xf numFmtId="2" fontId="6" fillId="39" borderId="6" xfId="0" applyNumberFormat="1" applyFont="1" applyFill="1" applyBorder="1" applyAlignment="1" applyProtection="1"/>
    <xf numFmtId="2" fontId="0" fillId="40" borderId="1" xfId="0" applyNumberFormat="1" applyFont="1" applyFill="1" applyBorder="1" applyAlignment="1" applyProtection="1"/>
    <xf numFmtId="0" fontId="19" fillId="42" borderId="6" xfId="0" applyFont="1" applyFill="1" applyBorder="1" applyAlignment="1" applyProtection="1"/>
    <xf numFmtId="0" fontId="0" fillId="28" borderId="7" xfId="0" applyFont="1" applyFill="1" applyBorder="1" applyAlignment="1" applyProtection="1">
      <alignment horizontal="right"/>
    </xf>
    <xf numFmtId="0" fontId="0" fillId="39" borderId="3" xfId="0" applyFont="1" applyFill="1" applyBorder="1" applyAlignment="1" applyProtection="1"/>
    <xf numFmtId="2" fontId="0" fillId="39" borderId="3" xfId="0" applyNumberFormat="1" applyFont="1" applyFill="1" applyBorder="1" applyAlignment="1" applyProtection="1"/>
    <xf numFmtId="0" fontId="0" fillId="28" borderId="5" xfId="0" applyFill="1" applyBorder="1"/>
    <xf numFmtId="0" fontId="0" fillId="28" borderId="9" xfId="0" applyFont="1" applyFill="1" applyBorder="1" applyAlignment="1" applyProtection="1"/>
    <xf numFmtId="0" fontId="0" fillId="28" borderId="10" xfId="0" applyFont="1" applyFill="1" applyBorder="1" applyAlignment="1" applyProtection="1"/>
    <xf numFmtId="0" fontId="0" fillId="28" borderId="4" xfId="0" applyFill="1" applyBorder="1"/>
    <xf numFmtId="0" fontId="6" fillId="28" borderId="4" xfId="0" applyFont="1" applyFill="1" applyBorder="1" applyAlignment="1" applyProtection="1"/>
    <xf numFmtId="0" fontId="37" fillId="0" borderId="0" xfId="9"/>
    <xf numFmtId="10" fontId="0" fillId="40" borderId="6" xfId="6" applyNumberFormat="1" applyFont="1" applyFill="1" applyBorder="1" applyAlignment="1" applyProtection="1"/>
    <xf numFmtId="10" fontId="0" fillId="28" borderId="0" xfId="6" applyNumberFormat="1" applyFont="1" applyFill="1" applyBorder="1" applyAlignment="1" applyProtection="1"/>
    <xf numFmtId="0" fontId="0" fillId="28" borderId="8" xfId="0" applyFont="1" applyFill="1" applyBorder="1" applyAlignment="1" applyProtection="1"/>
    <xf numFmtId="0" fontId="0" fillId="40" borderId="6" xfId="0" applyFill="1" applyBorder="1"/>
    <xf numFmtId="0" fontId="0" fillId="41" borderId="6" xfId="0" applyFill="1" applyBorder="1"/>
    <xf numFmtId="0" fontId="0" fillId="39" borderId="6" xfId="0" applyFill="1" applyBorder="1"/>
    <xf numFmtId="4" fontId="0" fillId="35" borderId="6" xfId="0" applyNumberFormat="1" applyFill="1" applyBorder="1"/>
    <xf numFmtId="0" fontId="19" fillId="0" borderId="6" xfId="0" applyFont="1" applyBorder="1"/>
    <xf numFmtId="0" fontId="19" fillId="41" borderId="6" xfId="0" applyFont="1" applyFill="1" applyBorder="1"/>
    <xf numFmtId="3" fontId="0" fillId="28" borderId="0" xfId="0" applyNumberFormat="1" applyFill="1"/>
    <xf numFmtId="2" fontId="0" fillId="0" borderId="6" xfId="0" applyNumberFormat="1" applyBorder="1"/>
    <xf numFmtId="0" fontId="0" fillId="28" borderId="9" xfId="0" applyFill="1" applyBorder="1"/>
    <xf numFmtId="0" fontId="0" fillId="28" borderId="12" xfId="0" applyFill="1" applyBorder="1"/>
    <xf numFmtId="0" fontId="0" fillId="28" borderId="13" xfId="0" applyFill="1" applyBorder="1"/>
    <xf numFmtId="0" fontId="0" fillId="0" borderId="0" xfId="0" applyFont="1" applyFill="1" applyBorder="1" applyAlignment="1" applyProtection="1"/>
    <xf numFmtId="184" fontId="0" fillId="13" borderId="6" xfId="0" applyNumberFormat="1" applyFont="1" applyFill="1" applyBorder="1" applyAlignment="1" applyProtection="1">
      <alignment horizontal="left" vertical="center" indent="1"/>
      <protection locked="0"/>
    </xf>
    <xf numFmtId="2" fontId="0" fillId="40" borderId="10" xfId="0" applyNumberFormat="1" applyFont="1" applyFill="1" applyBorder="1" applyAlignment="1" applyProtection="1"/>
    <xf numFmtId="2" fontId="0" fillId="40" borderId="13" xfId="0" applyNumberFormat="1" applyFont="1" applyFill="1" applyBorder="1" applyAlignment="1" applyProtection="1"/>
    <xf numFmtId="181" fontId="0" fillId="13" borderId="6" xfId="0" applyNumberFormat="1" applyFont="1" applyFill="1" applyBorder="1" applyAlignment="1" applyProtection="1">
      <alignment horizontal="left" vertical="center" indent="1"/>
      <protection locked="0"/>
    </xf>
    <xf numFmtId="0" fontId="19" fillId="0" borderId="12" xfId="0" applyFont="1" applyFill="1" applyBorder="1" applyAlignment="1" applyProtection="1">
      <alignment horizontal="center"/>
    </xf>
    <xf numFmtId="0" fontId="8" fillId="0" borderId="0" xfId="0" applyFont="1" applyFill="1" applyBorder="1" applyAlignment="1" applyProtection="1">
      <alignment horizontal="center"/>
    </xf>
    <xf numFmtId="0" fontId="0" fillId="14" borderId="0" xfId="0" applyFont="1" applyFill="1" applyBorder="1" applyAlignment="1" applyProtection="1"/>
    <xf numFmtId="0" fontId="0" fillId="39" borderId="4" xfId="0" applyFont="1" applyFill="1" applyBorder="1" applyAlignment="1" applyProtection="1"/>
    <xf numFmtId="2" fontId="19" fillId="35" borderId="0" xfId="0" applyNumberFormat="1" applyFont="1" applyFill="1" applyBorder="1" applyAlignment="1" applyProtection="1"/>
    <xf numFmtId="2" fontId="19" fillId="35" borderId="7" xfId="0" applyNumberFormat="1" applyFont="1" applyFill="1" applyBorder="1" applyAlignment="1" applyProtection="1"/>
    <xf numFmtId="0" fontId="0" fillId="39" borderId="0" xfId="0" applyFont="1" applyFill="1" applyBorder="1" applyAlignment="1" applyProtection="1"/>
    <xf numFmtId="0" fontId="8" fillId="45" borderId="1" xfId="0" applyFont="1" applyFill="1" applyBorder="1" applyAlignment="1" applyProtection="1">
      <alignment horizontal="center"/>
    </xf>
    <xf numFmtId="2" fontId="0" fillId="40" borderId="9" xfId="0" applyNumberFormat="1" applyFont="1" applyFill="1" applyBorder="1" applyAlignment="1" applyProtection="1"/>
    <xf numFmtId="2" fontId="0" fillId="40" borderId="12" xfId="0" applyNumberFormat="1" applyFont="1" applyFill="1" applyBorder="1" applyAlignment="1" applyProtection="1"/>
    <xf numFmtId="0" fontId="8" fillId="45" borderId="6" xfId="0" applyFont="1" applyFill="1" applyBorder="1" applyAlignment="1" applyProtection="1">
      <alignment horizontal="center"/>
    </xf>
    <xf numFmtId="185" fontId="0" fillId="13" borderId="6" xfId="0" applyNumberFormat="1" applyFont="1" applyFill="1" applyBorder="1" applyAlignment="1" applyProtection="1">
      <alignment horizontal="left" vertical="center" indent="1"/>
      <protection locked="0"/>
    </xf>
    <xf numFmtId="0" fontId="0" fillId="39" borderId="0" xfId="0" applyFont="1" applyFill="1" applyBorder="1" applyAlignment="1" applyProtection="1">
      <alignment horizontal="right"/>
    </xf>
    <xf numFmtId="0" fontId="8" fillId="46" borderId="3" xfId="0" applyFont="1" applyFill="1" applyBorder="1" applyAlignment="1" applyProtection="1">
      <alignment horizontal="center"/>
    </xf>
    <xf numFmtId="186" fontId="0" fillId="40" borderId="6" xfId="0" applyNumberFormat="1" applyFont="1" applyFill="1" applyBorder="1" applyAlignment="1" applyProtection="1"/>
    <xf numFmtId="2" fontId="6" fillId="39" borderId="16" xfId="0" applyNumberFormat="1" applyFont="1" applyFill="1" applyBorder="1" applyAlignment="1" applyProtection="1"/>
    <xf numFmtId="0" fontId="9" fillId="39" borderId="8" xfId="0" applyFont="1" applyFill="1" applyBorder="1" applyAlignment="1" applyProtection="1">
      <alignment horizontal="right"/>
    </xf>
    <xf numFmtId="0" fontId="19" fillId="47" borderId="6" xfId="0" applyFont="1" applyFill="1" applyBorder="1"/>
    <xf numFmtId="0" fontId="19" fillId="47" borderId="6" xfId="0" applyFont="1" applyFill="1" applyBorder="1" applyAlignment="1">
      <alignment horizontal="center"/>
    </xf>
    <xf numFmtId="0" fontId="0" fillId="13" borderId="1" xfId="0" applyFont="1" applyFill="1" applyBorder="1" applyAlignment="1" applyProtection="1">
      <alignment horizontal="left" vertical="center" indent="1"/>
      <protection locked="0"/>
    </xf>
    <xf numFmtId="0" fontId="19" fillId="48" borderId="6" xfId="0" applyFont="1" applyFill="1" applyBorder="1" applyAlignment="1" applyProtection="1"/>
    <xf numFmtId="187" fontId="0" fillId="13" borderId="6" xfId="0" applyNumberFormat="1" applyFont="1" applyFill="1" applyBorder="1" applyAlignment="1" applyProtection="1">
      <alignment horizontal="left" vertical="center" indent="1"/>
      <protection locked="0"/>
    </xf>
    <xf numFmtId="188" fontId="0" fillId="13" borderId="1" xfId="0" applyNumberFormat="1" applyFont="1" applyFill="1" applyBorder="1" applyAlignment="1" applyProtection="1">
      <alignment horizontal="left" vertical="center" indent="1"/>
      <protection locked="0"/>
    </xf>
    <xf numFmtId="0" fontId="0" fillId="39" borderId="17" xfId="0" applyFont="1" applyFill="1" applyBorder="1" applyAlignment="1" applyProtection="1"/>
    <xf numFmtId="0" fontId="0" fillId="39" borderId="8" xfId="0" applyFont="1" applyFill="1" applyBorder="1" applyAlignment="1" applyProtection="1"/>
    <xf numFmtId="189" fontId="0" fillId="13" borderId="6" xfId="0" applyNumberFormat="1" applyFont="1" applyFill="1" applyBorder="1" applyAlignment="1" applyProtection="1">
      <alignment horizontal="left" vertical="center" indent="1"/>
      <protection locked="0"/>
    </xf>
    <xf numFmtId="0" fontId="19" fillId="44" borderId="6" xfId="0" applyFont="1" applyFill="1" applyBorder="1" applyAlignment="1" applyProtection="1"/>
    <xf numFmtId="165" fontId="0" fillId="49" borderId="6" xfId="0" applyNumberFormat="1" applyFont="1" applyFill="1" applyBorder="1" applyAlignment="1" applyProtection="1">
      <alignment horizontal="left" vertical="center" indent="1"/>
      <protection locked="0"/>
    </xf>
    <xf numFmtId="173" fontId="0" fillId="49" borderId="6" xfId="0" applyNumberFormat="1" applyFont="1" applyFill="1" applyBorder="1" applyAlignment="1" applyProtection="1">
      <alignment horizontal="left" vertical="center" indent="1"/>
      <protection locked="0"/>
    </xf>
    <xf numFmtId="170" fontId="0" fillId="49" borderId="6" xfId="0" applyNumberFormat="1" applyFont="1" applyFill="1" applyBorder="1" applyAlignment="1" applyProtection="1">
      <alignment horizontal="left" vertical="center" indent="1"/>
      <protection locked="0"/>
    </xf>
    <xf numFmtId="171" fontId="0" fillId="49" borderId="6" xfId="0" applyNumberFormat="1" applyFont="1" applyFill="1" applyBorder="1" applyAlignment="1" applyProtection="1">
      <alignment horizontal="left" vertical="center" indent="1"/>
      <protection locked="0"/>
    </xf>
    <xf numFmtId="0" fontId="19" fillId="48" borderId="8" xfId="0" applyFont="1" applyFill="1" applyBorder="1" applyAlignment="1" applyProtection="1"/>
    <xf numFmtId="0" fontId="22" fillId="0" borderId="0" xfId="0" applyFont="1"/>
    <xf numFmtId="190" fontId="6" fillId="10" borderId="6" xfId="0" applyNumberFormat="1" applyFont="1" applyFill="1" applyBorder="1" applyAlignment="1" applyProtection="1">
      <alignment horizontal="left" vertical="center" indent="1"/>
      <protection locked="0"/>
    </xf>
    <xf numFmtId="191" fontId="6" fillId="10" borderId="6" xfId="0" applyNumberFormat="1" applyFont="1" applyFill="1" applyBorder="1" applyAlignment="1" applyProtection="1">
      <alignment horizontal="left" vertical="center" indent="1"/>
      <protection locked="0"/>
    </xf>
    <xf numFmtId="0" fontId="19" fillId="48" borderId="11" xfId="0" applyFont="1" applyFill="1" applyBorder="1" applyAlignment="1" applyProtection="1"/>
    <xf numFmtId="193" fontId="0" fillId="13" borderId="1" xfId="0" applyNumberFormat="1" applyFont="1" applyFill="1" applyBorder="1" applyAlignment="1" applyProtection="1">
      <alignment horizontal="left" vertical="center" indent="1"/>
      <protection locked="0"/>
    </xf>
    <xf numFmtId="193" fontId="6" fillId="10" borderId="6" xfId="0" applyNumberFormat="1" applyFont="1" applyFill="1" applyBorder="1" applyAlignment="1" applyProtection="1">
      <alignment horizontal="left" vertical="center" indent="1"/>
      <protection locked="0"/>
    </xf>
    <xf numFmtId="10" fontId="0" fillId="0" borderId="0" xfId="6" applyNumberFormat="1" applyFont="1"/>
    <xf numFmtId="2" fontId="19" fillId="35" borderId="16" xfId="0" applyNumberFormat="1" applyFont="1" applyFill="1" applyBorder="1" applyAlignment="1" applyProtection="1"/>
    <xf numFmtId="0" fontId="19" fillId="50" borderId="6" xfId="0" applyFont="1" applyFill="1" applyBorder="1"/>
    <xf numFmtId="0" fontId="19" fillId="45" borderId="6" xfId="0" applyFont="1" applyFill="1" applyBorder="1"/>
    <xf numFmtId="0" fontId="19" fillId="48" borderId="6" xfId="0" applyFont="1" applyFill="1" applyBorder="1"/>
    <xf numFmtId="181" fontId="6" fillId="10" borderId="6" xfId="0" applyNumberFormat="1" applyFont="1" applyFill="1" applyBorder="1" applyAlignment="1" applyProtection="1">
      <alignment horizontal="left" vertical="center" indent="1"/>
      <protection locked="0"/>
    </xf>
    <xf numFmtId="185" fontId="6" fillId="10" borderId="6" xfId="0" applyNumberFormat="1" applyFont="1" applyFill="1" applyBorder="1" applyAlignment="1" applyProtection="1">
      <alignment horizontal="left" vertical="center" indent="1"/>
      <protection locked="0"/>
    </xf>
    <xf numFmtId="196" fontId="0" fillId="13" borderId="6" xfId="0" applyNumberFormat="1" applyFont="1" applyFill="1" applyBorder="1" applyAlignment="1" applyProtection="1">
      <alignment horizontal="left" vertical="center" indent="1"/>
      <protection locked="0"/>
    </xf>
    <xf numFmtId="196" fontId="6" fillId="10" borderId="6" xfId="0" applyNumberFormat="1" applyFont="1" applyFill="1" applyBorder="1" applyAlignment="1" applyProtection="1">
      <alignment horizontal="left" vertical="center" indent="1"/>
      <protection locked="0"/>
    </xf>
    <xf numFmtId="0" fontId="0" fillId="0" borderId="0" xfId="0"/>
    <xf numFmtId="0" fontId="19" fillId="47" borderId="6" xfId="0" applyFont="1" applyFill="1" applyBorder="1" applyAlignment="1">
      <alignment horizontal="center"/>
    </xf>
    <xf numFmtId="0" fontId="8" fillId="45" borderId="6" xfId="0" applyFont="1" applyFill="1" applyBorder="1" applyAlignment="1" applyProtection="1">
      <alignment horizontal="center"/>
    </xf>
    <xf numFmtId="0" fontId="8" fillId="45" borderId="1" xfId="0" applyFont="1" applyFill="1" applyBorder="1" applyAlignment="1" applyProtection="1">
      <alignment horizontal="center"/>
    </xf>
    <xf numFmtId="0" fontId="0" fillId="0" borderId="0" xfId="0" quotePrefix="1"/>
    <xf numFmtId="2" fontId="0" fillId="0" borderId="0" xfId="0" applyNumberFormat="1" applyFont="1" applyAlignment="1" applyProtection="1"/>
    <xf numFmtId="9" fontId="0" fillId="0" borderId="0" xfId="0" applyNumberFormat="1" applyFont="1" applyAlignment="1" applyProtection="1"/>
    <xf numFmtId="10" fontId="0" fillId="0" borderId="0" xfId="0" applyNumberFormat="1" applyFont="1" applyAlignment="1" applyProtection="1"/>
    <xf numFmtId="9" fontId="0" fillId="0" borderId="0" xfId="6" applyFont="1" applyAlignment="1" applyProtection="1"/>
    <xf numFmtId="0" fontId="0" fillId="0" borderId="0" xfId="0" applyFill="1" applyBorder="1" applyAlignment="1" applyProtection="1"/>
    <xf numFmtId="0" fontId="0" fillId="0" borderId="0" xfId="0"/>
    <xf numFmtId="10" fontId="0" fillId="0" borderId="6" xfId="6" applyNumberFormat="1" applyFont="1" applyBorder="1"/>
    <xf numFmtId="194" fontId="0" fillId="35" borderId="6" xfId="0" applyNumberFormat="1" applyFill="1" applyBorder="1"/>
    <xf numFmtId="0" fontId="22" fillId="28" borderId="0" xfId="0" applyFont="1" applyFill="1" applyBorder="1"/>
    <xf numFmtId="199" fontId="6" fillId="10" borderId="6" xfId="10" applyNumberFormat="1" applyFont="1" applyFill="1" applyBorder="1" applyAlignment="1" applyProtection="1">
      <alignment horizontal="left" vertical="center" indent="1"/>
      <protection locked="0"/>
    </xf>
    <xf numFmtId="203" fontId="0" fillId="35" borderId="6" xfId="0" applyNumberFormat="1" applyFill="1" applyBorder="1"/>
    <xf numFmtId="10" fontId="0" fillId="35" borderId="6" xfId="6" applyNumberFormat="1" applyFont="1" applyFill="1" applyBorder="1"/>
    <xf numFmtId="198" fontId="0" fillId="35" borderId="6" xfId="0" applyNumberFormat="1" applyFill="1" applyBorder="1" applyAlignment="1">
      <alignment horizontal="center"/>
    </xf>
    <xf numFmtId="2" fontId="0" fillId="44" borderId="6" xfId="0" applyNumberFormat="1" applyFill="1" applyBorder="1" applyAlignment="1">
      <alignment horizontal="center"/>
    </xf>
    <xf numFmtId="0" fontId="0" fillId="39" borderId="0" xfId="0" applyFill="1"/>
    <xf numFmtId="194" fontId="0" fillId="39" borderId="0" xfId="0" applyNumberFormat="1" applyFill="1"/>
    <xf numFmtId="0" fontId="22" fillId="28" borderId="0" xfId="0" applyFont="1" applyFill="1"/>
    <xf numFmtId="10" fontId="0" fillId="28" borderId="4" xfId="0" applyNumberFormat="1" applyFill="1" applyBorder="1"/>
    <xf numFmtId="10" fontId="0" fillId="28" borderId="0" xfId="0" applyNumberFormat="1" applyFill="1" applyBorder="1"/>
    <xf numFmtId="194" fontId="0" fillId="28" borderId="0" xfId="0" applyNumberFormat="1" applyFill="1" applyBorder="1"/>
    <xf numFmtId="0" fontId="22" fillId="28" borderId="4" xfId="0" applyFont="1" applyFill="1" applyBorder="1"/>
    <xf numFmtId="0" fontId="35" fillId="27" borderId="2" xfId="0" applyFont="1" applyFill="1" applyBorder="1" applyAlignment="1" applyProtection="1"/>
    <xf numFmtId="0" fontId="35" fillId="27" borderId="3" xfId="0" applyFont="1" applyFill="1" applyBorder="1" applyAlignment="1" applyProtection="1"/>
    <xf numFmtId="0" fontId="0" fillId="53" borderId="0" xfId="0" applyFont="1" applyFill="1" applyAlignment="1" applyProtection="1"/>
    <xf numFmtId="0" fontId="22" fillId="52" borderId="0" xfId="0" applyFont="1" applyFill="1" applyBorder="1" applyAlignment="1" applyProtection="1">
      <alignment horizontal="left" vertical="center" indent="1"/>
      <protection locked="0"/>
    </xf>
    <xf numFmtId="0" fontId="22" fillId="28" borderId="0" xfId="0" applyFont="1" applyFill="1" applyBorder="1" applyAlignment="1" applyProtection="1"/>
    <xf numFmtId="0" fontId="22" fillId="53" borderId="0" xfId="0" applyFont="1" applyFill="1" applyBorder="1" applyAlignment="1" applyProtection="1"/>
    <xf numFmtId="0" fontId="33" fillId="53" borderId="0" xfId="0" applyFont="1" applyFill="1" applyBorder="1" applyAlignment="1" applyProtection="1"/>
    <xf numFmtId="0" fontId="22" fillId="53" borderId="0" xfId="0" applyFont="1" applyFill="1" applyAlignment="1" applyProtection="1"/>
    <xf numFmtId="0" fontId="0" fillId="52" borderId="2" xfId="0" applyFont="1" applyFill="1" applyBorder="1" applyAlignment="1" applyProtection="1">
      <alignment horizontal="left" vertical="center" indent="1"/>
      <protection locked="0"/>
    </xf>
    <xf numFmtId="0" fontId="0" fillId="52" borderId="0" xfId="0" applyFont="1" applyFill="1" applyBorder="1" applyAlignment="1" applyProtection="1">
      <alignment horizontal="left" vertical="center" indent="1"/>
      <protection locked="0"/>
    </xf>
    <xf numFmtId="170" fontId="22" fillId="28" borderId="0" xfId="0" applyNumberFormat="1" applyFont="1" applyFill="1" applyAlignment="1" applyProtection="1"/>
    <xf numFmtId="194" fontId="19" fillId="35" borderId="17" xfId="0" applyNumberFormat="1" applyFont="1" applyFill="1" applyBorder="1"/>
    <xf numFmtId="0" fontId="0" fillId="39" borderId="0" xfId="0" applyFill="1" applyAlignment="1">
      <alignment horizontal="center"/>
    </xf>
    <xf numFmtId="194" fontId="19" fillId="39" borderId="3" xfId="0" applyNumberFormat="1" applyFont="1" applyFill="1" applyBorder="1"/>
    <xf numFmtId="194" fontId="0" fillId="39" borderId="6" xfId="0" applyNumberFormat="1" applyFill="1" applyBorder="1"/>
    <xf numFmtId="9" fontId="0" fillId="35" borderId="6" xfId="0" applyNumberFormat="1" applyFill="1" applyBorder="1"/>
    <xf numFmtId="9" fontId="0" fillId="35" borderId="6" xfId="6" applyFont="1" applyFill="1" applyBorder="1"/>
    <xf numFmtId="194" fontId="16" fillId="39" borderId="6" xfId="0" applyNumberFormat="1" applyFont="1" applyFill="1" applyBorder="1" applyAlignment="1"/>
    <xf numFmtId="194" fontId="0" fillId="39" borderId="6" xfId="0" applyNumberFormat="1" applyFill="1" applyBorder="1" applyAlignment="1"/>
    <xf numFmtId="44" fontId="0" fillId="39" borderId="6" xfId="10" applyFont="1" applyFill="1" applyBorder="1"/>
    <xf numFmtId="201" fontId="0" fillId="39" borderId="6" xfId="0" applyNumberFormat="1" applyFill="1" applyBorder="1"/>
    <xf numFmtId="194" fontId="0" fillId="39" borderId="6" xfId="0" applyNumberFormat="1" applyFill="1" applyBorder="1" applyAlignment="1">
      <alignment horizontal="right"/>
    </xf>
    <xf numFmtId="0" fontId="0" fillId="39" borderId="11" xfId="0" applyFill="1" applyBorder="1"/>
    <xf numFmtId="0" fontId="0" fillId="39" borderId="12" xfId="0" applyFill="1" applyBorder="1"/>
    <xf numFmtId="0" fontId="0" fillId="39" borderId="13" xfId="0" applyFill="1" applyBorder="1"/>
    <xf numFmtId="0" fontId="0" fillId="39" borderId="1" xfId="0" applyFill="1" applyBorder="1"/>
    <xf numFmtId="0" fontId="0" fillId="39" borderId="2" xfId="0" applyFill="1" applyBorder="1"/>
    <xf numFmtId="0" fontId="0" fillId="39" borderId="5" xfId="0" applyFill="1" applyBorder="1"/>
    <xf numFmtId="0" fontId="0" fillId="39" borderId="9" xfId="0" applyFill="1" applyBorder="1"/>
    <xf numFmtId="194" fontId="0" fillId="39" borderId="1" xfId="0" applyNumberFormat="1" applyFill="1" applyBorder="1"/>
    <xf numFmtId="194" fontId="0" fillId="39" borderId="3" xfId="0" applyNumberFormat="1" applyFill="1" applyBorder="1"/>
    <xf numFmtId="10" fontId="0" fillId="0" borderId="1" xfId="6" applyNumberFormat="1" applyFont="1" applyBorder="1"/>
    <xf numFmtId="0" fontId="0" fillId="28" borderId="0" xfId="0" applyFill="1" applyBorder="1" applyAlignment="1">
      <alignment horizontal="center" vertical="center"/>
    </xf>
    <xf numFmtId="10" fontId="0" fillId="28" borderId="0" xfId="6" applyNumberFormat="1" applyFont="1" applyFill="1" applyBorder="1"/>
    <xf numFmtId="0" fontId="0" fillId="28" borderId="0" xfId="0" applyFill="1" applyAlignment="1"/>
    <xf numFmtId="0" fontId="19" fillId="28" borderId="0" xfId="0" applyFont="1" applyFill="1" applyBorder="1" applyAlignment="1">
      <alignment horizontal="center" vertical="center"/>
    </xf>
    <xf numFmtId="0" fontId="34" fillId="28" borderId="0" xfId="0" applyFont="1" applyFill="1" applyBorder="1" applyAlignment="1" applyProtection="1">
      <alignment horizontal="center"/>
    </xf>
    <xf numFmtId="0" fontId="35" fillId="28" borderId="0" xfId="0" applyFont="1" applyFill="1" applyBorder="1" applyAlignment="1" applyProtection="1">
      <alignment horizontal="center"/>
    </xf>
    <xf numFmtId="0" fontId="0" fillId="53" borderId="0" xfId="0" applyFont="1" applyFill="1" applyBorder="1" applyAlignment="1" applyProtection="1">
      <protection locked="0"/>
    </xf>
    <xf numFmtId="0" fontId="0" fillId="53" borderId="0" xfId="0" applyFont="1" applyFill="1" applyBorder="1" applyAlignment="1" applyProtection="1"/>
    <xf numFmtId="0" fontId="22" fillId="51" borderId="0" xfId="0" applyFont="1" applyFill="1"/>
    <xf numFmtId="0" fontId="0" fillId="51" borderId="0" xfId="0" applyFill="1"/>
    <xf numFmtId="0" fontId="14" fillId="5" borderId="4" xfId="0" applyFont="1" applyFill="1" applyBorder="1"/>
    <xf numFmtId="0" fontId="11" fillId="11" borderId="6" xfId="0" applyFont="1" applyFill="1" applyBorder="1" applyAlignment="1">
      <alignment horizontal="left" vertical="center" indent="1"/>
    </xf>
    <xf numFmtId="0" fontId="11" fillId="24" borderId="6" xfId="0" applyFont="1" applyFill="1" applyBorder="1" applyAlignment="1">
      <alignment horizontal="left" vertical="center" indent="1"/>
    </xf>
    <xf numFmtId="0" fontId="11" fillId="8" borderId="6" xfId="0" applyFont="1" applyFill="1" applyBorder="1" applyAlignment="1">
      <alignment horizontal="left" vertical="center" indent="1"/>
    </xf>
    <xf numFmtId="0" fontId="11" fillId="10" borderId="6" xfId="0" applyFont="1" applyFill="1" applyBorder="1" applyAlignment="1">
      <alignment horizontal="left" vertical="center" indent="1"/>
    </xf>
    <xf numFmtId="175" fontId="11" fillId="10" borderId="6" xfId="0" applyNumberFormat="1" applyFont="1" applyFill="1" applyBorder="1" applyAlignment="1">
      <alignment horizontal="left" vertical="center" indent="1"/>
    </xf>
    <xf numFmtId="174" fontId="11" fillId="10" borderId="6" xfId="0" applyNumberFormat="1" applyFont="1" applyFill="1" applyBorder="1" applyAlignment="1">
      <alignment horizontal="left" vertical="center" indent="1"/>
    </xf>
    <xf numFmtId="0" fontId="6" fillId="0" borderId="1" xfId="0" applyFont="1" applyBorder="1"/>
    <xf numFmtId="0" fontId="6" fillId="17" borderId="1" xfId="0" applyFont="1" applyFill="1" applyBorder="1"/>
    <xf numFmtId="0" fontId="6" fillId="0" borderId="6" xfId="0" applyFont="1" applyBorder="1"/>
    <xf numFmtId="0" fontId="6" fillId="0" borderId="0" xfId="0" applyFont="1"/>
    <xf numFmtId="0" fontId="6" fillId="17" borderId="4" xfId="0" applyFont="1" applyFill="1" applyBorder="1"/>
    <xf numFmtId="2" fontId="19" fillId="0" borderId="6" xfId="0" applyNumberFormat="1" applyFont="1" applyBorder="1"/>
    <xf numFmtId="0" fontId="19" fillId="0" borderId="0" xfId="0" applyFont="1"/>
    <xf numFmtId="10" fontId="6" fillId="0" borderId="6" xfId="0" applyNumberFormat="1" applyFont="1" applyBorder="1"/>
    <xf numFmtId="10" fontId="0" fillId="0" borderId="0" xfId="0" applyNumberFormat="1"/>
    <xf numFmtId="204" fontId="0" fillId="0" borderId="0" xfId="0" applyNumberFormat="1"/>
    <xf numFmtId="0" fontId="0" fillId="28" borderId="0" xfId="0" applyFont="1" applyFill="1" applyBorder="1"/>
    <xf numFmtId="0" fontId="0" fillId="28" borderId="7" xfId="0" applyFont="1" applyFill="1" applyBorder="1"/>
    <xf numFmtId="0" fontId="0" fillId="39" borderId="2" xfId="0" applyFont="1" applyFill="1" applyBorder="1"/>
    <xf numFmtId="0" fontId="0" fillId="39" borderId="3" xfId="0" applyFont="1" applyFill="1" applyBorder="1"/>
    <xf numFmtId="0" fontId="0" fillId="28" borderId="0" xfId="0" applyFont="1" applyFill="1"/>
    <xf numFmtId="0" fontId="0" fillId="28" borderId="9" xfId="0" applyFont="1" applyFill="1" applyBorder="1"/>
    <xf numFmtId="0" fontId="0" fillId="28" borderId="10" xfId="0" applyFont="1" applyFill="1" applyBorder="1"/>
    <xf numFmtId="0" fontId="0" fillId="39" borderId="1" xfId="0" applyFont="1" applyFill="1" applyBorder="1"/>
    <xf numFmtId="44" fontId="0" fillId="28" borderId="0" xfId="0" applyNumberFormat="1" applyFont="1" applyFill="1"/>
    <xf numFmtId="0" fontId="19" fillId="42" borderId="6" xfId="0" applyFont="1" applyFill="1" applyBorder="1"/>
    <xf numFmtId="0" fontId="19" fillId="55" borderId="6" xfId="0" applyFont="1" applyFill="1" applyBorder="1"/>
    <xf numFmtId="0" fontId="0" fillId="55" borderId="6" xfId="0" applyFill="1" applyBorder="1"/>
    <xf numFmtId="0" fontId="19" fillId="56" borderId="6" xfId="0" applyFont="1" applyFill="1" applyBorder="1"/>
    <xf numFmtId="0" fontId="19" fillId="44" borderId="6" xfId="0" applyFont="1" applyFill="1" applyBorder="1"/>
    <xf numFmtId="0" fontId="0" fillId="57" borderId="6" xfId="0" applyFill="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45" fillId="0" borderId="0" xfId="0" applyFont="1"/>
    <xf numFmtId="0" fontId="46" fillId="0" borderId="0" xfId="0" applyFont="1"/>
    <xf numFmtId="0" fontId="47" fillId="0" borderId="0" xfId="0" applyFont="1"/>
    <xf numFmtId="0" fontId="44" fillId="0" borderId="0" xfId="0" applyFont="1"/>
    <xf numFmtId="0" fontId="37" fillId="0" borderId="0" xfId="9" applyAlignment="1">
      <alignment wrapText="1"/>
    </xf>
    <xf numFmtId="0" fontId="0" fillId="26" borderId="0" xfId="0" applyFill="1"/>
    <xf numFmtId="0" fontId="0" fillId="58" borderId="0" xfId="0" applyFill="1"/>
    <xf numFmtId="0" fontId="48" fillId="0" borderId="0" xfId="0" applyFont="1"/>
    <xf numFmtId="0" fontId="16" fillId="0" borderId="6" xfId="0" applyFont="1" applyBorder="1"/>
    <xf numFmtId="205" fontId="0" fillId="0" borderId="6" xfId="0" applyNumberFormat="1" applyBorder="1"/>
    <xf numFmtId="206" fontId="0" fillId="0" borderId="6" xfId="0" applyNumberFormat="1" applyBorder="1"/>
    <xf numFmtId="207" fontId="0" fillId="0" borderId="6" xfId="0" applyNumberFormat="1" applyBorder="1"/>
    <xf numFmtId="9" fontId="0" fillId="0" borderId="6" xfId="6" applyFont="1" applyBorder="1"/>
    <xf numFmtId="205" fontId="0" fillId="0" borderId="0" xfId="0" applyNumberFormat="1"/>
    <xf numFmtId="206" fontId="0" fillId="0" borderId="0" xfId="0" applyNumberFormat="1" applyBorder="1"/>
    <xf numFmtId="198" fontId="0" fillId="0" borderId="0" xfId="0" applyNumberFormat="1"/>
    <xf numFmtId="197" fontId="0" fillId="0" borderId="0" xfId="0" applyNumberFormat="1"/>
    <xf numFmtId="44" fontId="0" fillId="0" borderId="0" xfId="10" applyFont="1"/>
    <xf numFmtId="0" fontId="0" fillId="28" borderId="4" xfId="0" applyFont="1" applyFill="1" applyBorder="1"/>
    <xf numFmtId="200" fontId="6" fillId="10" borderId="6" xfId="10" applyNumberFormat="1" applyFont="1" applyFill="1" applyBorder="1" applyAlignment="1" applyProtection="1">
      <alignment horizontal="left" vertical="center" indent="1"/>
      <protection locked="0"/>
    </xf>
    <xf numFmtId="200" fontId="0" fillId="0" borderId="0" xfId="0" applyNumberFormat="1"/>
    <xf numFmtId="0" fontId="22" fillId="28" borderId="5" xfId="0" applyFont="1" applyFill="1" applyBorder="1"/>
    <xf numFmtId="0" fontId="0" fillId="35" borderId="6" xfId="0" applyFill="1" applyBorder="1"/>
    <xf numFmtId="205" fontId="0" fillId="35" borderId="6" xfId="0" applyNumberFormat="1" applyFill="1" applyBorder="1"/>
    <xf numFmtId="206" fontId="0" fillId="35" borderId="6" xfId="0" applyNumberFormat="1" applyFill="1" applyBorder="1"/>
    <xf numFmtId="207" fontId="0" fillId="35" borderId="6" xfId="0" applyNumberFormat="1" applyFill="1" applyBorder="1"/>
    <xf numFmtId="200" fontId="6" fillId="59" borderId="0" xfId="10" applyNumberFormat="1" applyFont="1" applyFill="1" applyBorder="1" applyAlignment="1" applyProtection="1">
      <alignment horizontal="left" vertical="center" indent="1"/>
      <protection locked="0"/>
    </xf>
    <xf numFmtId="206" fontId="0" fillId="0" borderId="0" xfId="0" applyNumberFormat="1"/>
    <xf numFmtId="207" fontId="0" fillId="0" borderId="0" xfId="0" applyNumberFormat="1"/>
    <xf numFmtId="0" fontId="0" fillId="28" borderId="11" xfId="0" applyFill="1" applyBorder="1"/>
    <xf numFmtId="208" fontId="0" fillId="0" borderId="0" xfId="0" applyNumberFormat="1"/>
    <xf numFmtId="209" fontId="0" fillId="0" borderId="0" xfId="10" applyNumberFormat="1" applyFont="1"/>
    <xf numFmtId="44" fontId="0" fillId="0" borderId="6" xfId="0" applyNumberFormat="1" applyBorder="1"/>
    <xf numFmtId="0" fontId="0" fillId="0" borderId="0" xfId="0" applyAlignment="1">
      <alignment horizontal="right"/>
    </xf>
    <xf numFmtId="0" fontId="0" fillId="0" borderId="6" xfId="0" applyBorder="1" applyAlignment="1"/>
    <xf numFmtId="192" fontId="0" fillId="35" borderId="6" xfId="0" applyNumberFormat="1" applyFill="1" applyBorder="1" applyAlignment="1">
      <alignment horizontal="center"/>
    </xf>
    <xf numFmtId="0" fontId="0" fillId="39" borderId="6" xfId="0" applyFill="1" applyBorder="1" applyAlignment="1"/>
    <xf numFmtId="0" fontId="0" fillId="28" borderId="0" xfId="0" applyFill="1"/>
    <xf numFmtId="210" fontId="0" fillId="0" borderId="6" xfId="0" applyNumberFormat="1" applyBorder="1"/>
    <xf numFmtId="0" fontId="22" fillId="28" borderId="10" xfId="0" applyFont="1" applyFill="1" applyBorder="1"/>
    <xf numFmtId="0" fontId="22" fillId="28" borderId="7" xfId="0" applyFont="1" applyFill="1" applyBorder="1"/>
    <xf numFmtId="0" fontId="27" fillId="28" borderId="0" xfId="0" applyFont="1" applyFill="1"/>
    <xf numFmtId="0" fontId="50" fillId="28" borderId="0" xfId="0" applyFont="1" applyFill="1"/>
    <xf numFmtId="10" fontId="50" fillId="28" borderId="0" xfId="0" applyNumberFormat="1" applyFont="1" applyFill="1"/>
    <xf numFmtId="10" fontId="50" fillId="28" borderId="0" xfId="6" applyNumberFormat="1" applyFont="1" applyFill="1"/>
    <xf numFmtId="10" fontId="22" fillId="28" borderId="0" xfId="0" applyNumberFormat="1" applyFont="1" applyFill="1"/>
    <xf numFmtId="0" fontId="0" fillId="28" borderId="0" xfId="0" applyFill="1"/>
    <xf numFmtId="0" fontId="0" fillId="28" borderId="0" xfId="0" applyFont="1" applyFill="1" applyBorder="1"/>
    <xf numFmtId="0" fontId="0" fillId="62" borderId="0" xfId="0" applyFill="1"/>
    <xf numFmtId="49" fontId="52" fillId="0" borderId="0" xfId="11" applyNumberFormat="1"/>
    <xf numFmtId="0" fontId="0" fillId="28" borderId="0" xfId="0" applyFill="1"/>
    <xf numFmtId="0" fontId="0" fillId="28" borderId="0" xfId="0" applyFill="1" applyBorder="1" applyAlignment="1">
      <alignment horizontal="center"/>
    </xf>
    <xf numFmtId="10" fontId="19" fillId="28" borderId="0" xfId="6" applyNumberFormat="1" applyFont="1" applyFill="1" applyBorder="1" applyAlignment="1">
      <alignment horizontal="center"/>
    </xf>
    <xf numFmtId="0" fontId="0" fillId="28" borderId="5" xfId="0" applyFill="1" applyBorder="1" applyAlignment="1">
      <alignment horizontal="center"/>
    </xf>
    <xf numFmtId="0" fontId="0" fillId="28" borderId="9" xfId="0" applyFill="1" applyBorder="1" applyAlignment="1">
      <alignment horizontal="center"/>
    </xf>
    <xf numFmtId="10" fontId="19" fillId="28" borderId="9" xfId="6" applyNumberFormat="1" applyFont="1" applyFill="1" applyBorder="1" applyAlignment="1">
      <alignment horizontal="center"/>
    </xf>
    <xf numFmtId="10" fontId="19" fillId="28" borderId="10" xfId="6" applyNumberFormat="1" applyFont="1" applyFill="1" applyBorder="1" applyAlignment="1">
      <alignment horizontal="center"/>
    </xf>
    <xf numFmtId="0" fontId="0" fillId="28" borderId="4" xfId="0" applyFill="1" applyBorder="1" applyAlignment="1">
      <alignment horizontal="center"/>
    </xf>
    <xf numFmtId="10" fontId="19" fillId="28" borderId="7" xfId="6" applyNumberFormat="1" applyFont="1" applyFill="1" applyBorder="1" applyAlignment="1">
      <alignment horizontal="center"/>
    </xf>
    <xf numFmtId="0" fontId="0" fillId="28" borderId="11" xfId="0" applyFill="1" applyBorder="1" applyAlignment="1">
      <alignment horizontal="center"/>
    </xf>
    <xf numFmtId="0" fontId="0" fillId="28" borderId="12" xfId="0" applyFill="1" applyBorder="1" applyAlignment="1">
      <alignment horizontal="center"/>
    </xf>
    <xf numFmtId="10" fontId="19" fillId="28" borderId="12" xfId="6" applyNumberFormat="1" applyFont="1" applyFill="1" applyBorder="1" applyAlignment="1">
      <alignment horizontal="center"/>
    </xf>
    <xf numFmtId="10" fontId="19" fillId="28" borderId="13" xfId="6" applyNumberFormat="1" applyFont="1" applyFill="1" applyBorder="1" applyAlignment="1">
      <alignment horizontal="center"/>
    </xf>
    <xf numFmtId="0" fontId="0" fillId="28" borderId="10" xfId="0" applyFill="1" applyBorder="1" applyAlignment="1">
      <alignment horizontal="center"/>
    </xf>
    <xf numFmtId="0" fontId="0" fillId="28" borderId="7" xfId="0" applyFill="1" applyBorder="1" applyAlignment="1">
      <alignment horizontal="center"/>
    </xf>
    <xf numFmtId="0" fontId="0" fillId="28" borderId="13" xfId="0" applyFill="1" applyBorder="1" applyAlignment="1">
      <alignment horizontal="center"/>
    </xf>
    <xf numFmtId="9" fontId="0" fillId="28" borderId="0" xfId="0" applyNumberFormat="1" applyFill="1"/>
    <xf numFmtId="0" fontId="0" fillId="28" borderId="0" xfId="0" applyFill="1"/>
    <xf numFmtId="0" fontId="0" fillId="28" borderId="0" xfId="0" applyFill="1"/>
    <xf numFmtId="0" fontId="0" fillId="0" borderId="6" xfId="0" applyFont="1" applyBorder="1" applyAlignment="1"/>
    <xf numFmtId="0" fontId="0" fillId="28" borderId="6" xfId="0" applyFont="1" applyFill="1" applyBorder="1" applyAlignment="1"/>
    <xf numFmtId="0" fontId="0" fillId="61" borderId="6" xfId="0" applyFill="1" applyBorder="1"/>
    <xf numFmtId="0" fontId="0" fillId="0" borderId="0" xfId="0" applyFill="1"/>
    <xf numFmtId="0" fontId="0" fillId="0" borderId="0" xfId="0" quotePrefix="1" applyFill="1"/>
    <xf numFmtId="49" fontId="52" fillId="0" borderId="0" xfId="11" applyNumberFormat="1" applyFill="1"/>
    <xf numFmtId="0" fontId="0" fillId="28" borderId="0" xfId="0" applyFill="1"/>
    <xf numFmtId="0" fontId="0" fillId="28" borderId="0" xfId="0" applyFill="1"/>
    <xf numFmtId="0" fontId="0" fillId="39" borderId="8" xfId="0" applyFill="1" applyBorder="1"/>
    <xf numFmtId="0" fontId="0" fillId="39" borderId="3" xfId="0" applyFill="1" applyBorder="1"/>
    <xf numFmtId="211" fontId="0" fillId="35" borderId="6" xfId="0" applyNumberFormat="1" applyFill="1" applyBorder="1" applyAlignment="1">
      <alignment horizontal="right"/>
    </xf>
    <xf numFmtId="44" fontId="0" fillId="35" borderId="6" xfId="0" applyNumberFormat="1" applyFill="1" applyBorder="1"/>
    <xf numFmtId="202" fontId="22" fillId="28" borderId="0" xfId="0" applyNumberFormat="1" applyFont="1" applyFill="1" applyBorder="1"/>
    <xf numFmtId="0" fontId="50" fillId="28" borderId="0" xfId="0" applyFont="1" applyFill="1" applyBorder="1"/>
    <xf numFmtId="187" fontId="0" fillId="35" borderId="6" xfId="0" applyNumberFormat="1" applyFill="1" applyBorder="1" applyAlignment="1">
      <alignment horizontal="center"/>
    </xf>
    <xf numFmtId="187" fontId="0" fillId="35" borderId="8" xfId="0" applyNumberFormat="1" applyFill="1" applyBorder="1" applyAlignment="1">
      <alignment horizontal="right" vertical="center"/>
    </xf>
    <xf numFmtId="187" fontId="0" fillId="35" borderId="6" xfId="0" applyNumberFormat="1" applyFill="1" applyBorder="1" applyAlignment="1">
      <alignment horizontal="right" vertical="center"/>
    </xf>
    <xf numFmtId="9" fontId="0" fillId="35" borderId="6" xfId="6" applyNumberFormat="1" applyFont="1" applyFill="1" applyBorder="1"/>
    <xf numFmtId="0" fontId="0" fillId="28" borderId="0" xfId="0" applyFont="1" applyFill="1" applyBorder="1" applyAlignment="1" applyProtection="1">
      <protection locked="0"/>
    </xf>
    <xf numFmtId="0" fontId="0" fillId="28" borderId="0" xfId="0" applyFont="1" applyFill="1" applyBorder="1"/>
    <xf numFmtId="0" fontId="6" fillId="52" borderId="0" xfId="0" applyFont="1" applyFill="1" applyBorder="1" applyAlignment="1" applyProtection="1">
      <alignment horizontal="left" vertical="center" indent="1"/>
      <protection locked="0"/>
    </xf>
    <xf numFmtId="0" fontId="16" fillId="28" borderId="0" xfId="0" applyFont="1" applyFill="1"/>
    <xf numFmtId="0" fontId="0" fillId="28" borderId="0" xfId="0" applyFont="1" applyFill="1" applyBorder="1"/>
    <xf numFmtId="202" fontId="0" fillId="35" borderId="6" xfId="0" applyNumberFormat="1" applyFill="1" applyBorder="1" applyAlignment="1"/>
    <xf numFmtId="9" fontId="22" fillId="28" borderId="0" xfId="0" applyNumberFormat="1" applyFont="1" applyFill="1"/>
    <xf numFmtId="10" fontId="0" fillId="0" borderId="0" xfId="6" applyNumberFormat="1" applyFont="1" applyAlignment="1" applyProtection="1"/>
    <xf numFmtId="10" fontId="22" fillId="28" borderId="0" xfId="0" applyNumberFormat="1" applyFont="1" applyFill="1" applyBorder="1"/>
    <xf numFmtId="10" fontId="22" fillId="28" borderId="7" xfId="0" applyNumberFormat="1" applyFont="1" applyFill="1" applyBorder="1"/>
    <xf numFmtId="0" fontId="54" fillId="28" borderId="0" xfId="0" applyFont="1" applyFill="1"/>
    <xf numFmtId="0" fontId="0" fillId="28" borderId="0" xfId="0" applyFill="1"/>
    <xf numFmtId="0" fontId="22" fillId="51" borderId="0" xfId="0" applyFont="1" applyFill="1"/>
    <xf numFmtId="0" fontId="22" fillId="28" borderId="0" xfId="0" applyFont="1" applyFill="1" applyAlignment="1">
      <alignment horizontal="center"/>
    </xf>
    <xf numFmtId="0" fontId="0" fillId="28" borderId="0" xfId="0" applyFill="1"/>
    <xf numFmtId="0" fontId="22" fillId="53" borderId="0" xfId="0" applyFont="1" applyFill="1" applyBorder="1" applyAlignment="1" applyProtection="1">
      <protection locked="0"/>
    </xf>
    <xf numFmtId="10" fontId="22" fillId="28" borderId="0" xfId="6" applyNumberFormat="1" applyFont="1" applyFill="1"/>
    <xf numFmtId="10" fontId="22" fillId="51" borderId="0" xfId="0" applyNumberFormat="1" applyFont="1" applyFill="1"/>
    <xf numFmtId="9" fontId="22" fillId="28" borderId="0" xfId="6" applyFont="1" applyFill="1"/>
    <xf numFmtId="44" fontId="22" fillId="28" borderId="0" xfId="0" applyNumberFormat="1" applyFont="1" applyFill="1"/>
    <xf numFmtId="0" fontId="55" fillId="28" borderId="0" xfId="9" applyFont="1" applyFill="1"/>
    <xf numFmtId="200" fontId="22" fillId="28" borderId="0" xfId="0" applyNumberFormat="1" applyFont="1" applyFill="1"/>
    <xf numFmtId="2" fontId="22" fillId="28" borderId="0" xfId="0" applyNumberFormat="1" applyFont="1" applyFill="1" applyBorder="1"/>
    <xf numFmtId="197" fontId="22" fillId="28" borderId="0" xfId="0" applyNumberFormat="1" applyFont="1" applyFill="1" applyBorder="1"/>
    <xf numFmtId="44" fontId="50" fillId="28" borderId="0" xfId="0" applyNumberFormat="1" applyFont="1" applyFill="1" applyBorder="1"/>
    <xf numFmtId="195" fontId="50" fillId="28" borderId="0" xfId="0" applyNumberFormat="1" applyFont="1" applyFill="1" applyBorder="1"/>
    <xf numFmtId="0" fontId="6" fillId="37" borderId="6" xfId="0" applyFont="1" applyFill="1" applyBorder="1" applyAlignment="1" applyProtection="1">
      <protection locked="0"/>
    </xf>
    <xf numFmtId="2" fontId="33" fillId="28" borderId="0" xfId="0" applyNumberFormat="1" applyFont="1" applyFill="1" applyAlignment="1" applyProtection="1">
      <alignment horizontal="left" indent="1"/>
      <protection locked="0"/>
    </xf>
    <xf numFmtId="0" fontId="33" fillId="28" borderId="0" xfId="0" applyFont="1" applyFill="1" applyAlignment="1" applyProtection="1">
      <alignment horizontal="left" indent="1"/>
      <protection locked="0"/>
    </xf>
    <xf numFmtId="0" fontId="33" fillId="0" borderId="0" xfId="0" applyFont="1" applyAlignment="1" applyProtection="1">
      <alignment horizontal="left" indent="1"/>
      <protection locked="0"/>
    </xf>
    <xf numFmtId="0" fontId="35" fillId="27" borderId="1" xfId="0" applyFont="1" applyFill="1" applyBorder="1" applyAlignment="1" applyProtection="1">
      <protection locked="0"/>
    </xf>
    <xf numFmtId="180" fontId="6" fillId="29" borderId="0" xfId="0" applyNumberFormat="1" applyFont="1" applyFill="1" applyBorder="1" applyAlignment="1" applyProtection="1">
      <alignment horizontal="left" vertical="center" indent="1"/>
    </xf>
    <xf numFmtId="0" fontId="6" fillId="28" borderId="0" xfId="0" applyFont="1" applyFill="1" applyBorder="1" applyAlignment="1" applyProtection="1">
      <alignment horizontal="left" vertical="center" indent="1"/>
    </xf>
    <xf numFmtId="0" fontId="0" fillId="5" borderId="5" xfId="0" applyFont="1" applyFill="1" applyBorder="1" applyAlignment="1" applyProtection="1"/>
    <xf numFmtId="0" fontId="6" fillId="11" borderId="6" xfId="0" applyFont="1" applyFill="1" applyBorder="1" applyAlignment="1" applyProtection="1">
      <alignment horizontal="left" vertical="center" indent="1"/>
    </xf>
    <xf numFmtId="0" fontId="6" fillId="31" borderId="6" xfId="0" applyFont="1" applyFill="1" applyBorder="1" applyAlignment="1" applyProtection="1">
      <alignment horizontal="left" vertical="center" indent="1"/>
    </xf>
    <xf numFmtId="0" fontId="6" fillId="7" borderId="6" xfId="0" applyFont="1" applyFill="1" applyBorder="1" applyAlignment="1" applyProtection="1">
      <alignment horizontal="left" vertical="center" indent="1"/>
    </xf>
    <xf numFmtId="0" fontId="0" fillId="12" borderId="0" xfId="0" applyFont="1" applyFill="1" applyBorder="1" applyAlignment="1" applyProtection="1">
      <alignment horizontal="center"/>
    </xf>
    <xf numFmtId="0" fontId="0" fillId="5" borderId="4" xfId="0" applyFont="1" applyFill="1" applyBorder="1" applyAlignment="1" applyProtection="1"/>
    <xf numFmtId="0" fontId="0" fillId="5" borderId="7" xfId="0" applyFont="1" applyFill="1" applyBorder="1" applyAlignment="1" applyProtection="1"/>
    <xf numFmtId="0" fontId="0" fillId="13" borderId="6" xfId="0" applyFont="1" applyFill="1" applyBorder="1" applyAlignment="1" applyProtection="1">
      <alignment horizontal="left" vertical="center" indent="1"/>
    </xf>
    <xf numFmtId="164" fontId="0" fillId="13" borderId="6" xfId="0" applyNumberFormat="1" applyFont="1" applyFill="1" applyBorder="1" applyAlignment="1" applyProtection="1">
      <alignment horizontal="left" vertical="center" indent="1"/>
    </xf>
    <xf numFmtId="165" fontId="0" fillId="13" borderId="6" xfId="0" applyNumberFormat="1" applyFont="1" applyFill="1" applyBorder="1" applyAlignment="1" applyProtection="1">
      <alignment horizontal="left" vertical="center" indent="1"/>
    </xf>
    <xf numFmtId="0" fontId="0" fillId="53" borderId="2" xfId="0" applyFont="1" applyFill="1" applyBorder="1" applyAlignment="1" applyProtection="1"/>
    <xf numFmtId="0" fontId="0" fillId="53" borderId="9" xfId="0" applyFont="1" applyFill="1" applyBorder="1" applyAlignment="1" applyProtection="1"/>
    <xf numFmtId="0" fontId="0" fillId="53" borderId="7" xfId="0" applyFont="1" applyFill="1" applyBorder="1" applyAlignment="1" applyProtection="1"/>
    <xf numFmtId="0" fontId="6" fillId="32" borderId="6" xfId="0" applyFont="1" applyFill="1" applyBorder="1" applyAlignment="1" applyProtection="1">
      <alignment horizontal="left" vertical="center" indent="1"/>
    </xf>
    <xf numFmtId="2" fontId="6" fillId="32" borderId="6" xfId="0" applyNumberFormat="1" applyFont="1" applyFill="1" applyBorder="1" applyAlignment="1" applyProtection="1">
      <alignment horizontal="left" vertical="center" indent="1"/>
    </xf>
    <xf numFmtId="2" fontId="6" fillId="29" borderId="0" xfId="0" applyNumberFormat="1" applyFont="1" applyFill="1" applyBorder="1" applyAlignment="1" applyProtection="1">
      <alignment horizontal="left" vertical="center" indent="1"/>
    </xf>
    <xf numFmtId="2" fontId="6" fillId="32" borderId="16" xfId="0" applyNumberFormat="1" applyFont="1" applyFill="1" applyBorder="1" applyAlignment="1" applyProtection="1">
      <alignment horizontal="left" vertical="center" indent="1"/>
    </xf>
    <xf numFmtId="2" fontId="6" fillId="32" borderId="1" xfId="0" applyNumberFormat="1" applyFont="1" applyFill="1" applyBorder="1" applyAlignment="1" applyProtection="1">
      <alignment vertical="center"/>
    </xf>
    <xf numFmtId="169" fontId="7" fillId="2" borderId="6" xfId="1" applyNumberFormat="1" applyFont="1" applyBorder="1" applyAlignment="1" applyProtection="1">
      <alignment horizontal="left" vertical="center" indent="1"/>
    </xf>
    <xf numFmtId="169" fontId="7" fillId="54" borderId="0" xfId="1" applyNumberFormat="1" applyFont="1" applyFill="1" applyBorder="1" applyAlignment="1" applyProtection="1">
      <alignment horizontal="left" vertical="center" indent="1"/>
    </xf>
    <xf numFmtId="2" fontId="6" fillId="38" borderId="6" xfId="0" applyNumberFormat="1" applyFont="1" applyFill="1" applyBorder="1" applyAlignment="1" applyProtection="1">
      <alignment horizontal="left" vertical="center" indent="1"/>
    </xf>
    <xf numFmtId="182" fontId="6" fillId="38" borderId="16" xfId="0" applyNumberFormat="1" applyFont="1" applyFill="1" applyBorder="1" applyAlignment="1" applyProtection="1">
      <alignment horizontal="left" vertical="center" indent="1"/>
    </xf>
    <xf numFmtId="0" fontId="6" fillId="29" borderId="6" xfId="0" applyFont="1" applyFill="1" applyBorder="1" applyAlignment="1" applyProtection="1">
      <alignment horizontal="left" vertical="center" indent="1"/>
    </xf>
    <xf numFmtId="170" fontId="6" fillId="29" borderId="0" xfId="0" applyNumberFormat="1" applyFont="1" applyFill="1" applyBorder="1" applyAlignment="1" applyProtection="1">
      <alignment horizontal="center" vertical="center"/>
    </xf>
    <xf numFmtId="183" fontId="6" fillId="38" borderId="16" xfId="0" applyNumberFormat="1" applyFont="1" applyFill="1" applyBorder="1" applyAlignment="1" applyProtection="1">
      <alignment horizontal="left" vertical="center" indent="1"/>
    </xf>
    <xf numFmtId="170" fontId="6" fillId="32" borderId="6" xfId="0" applyNumberFormat="1" applyFont="1" applyFill="1" applyBorder="1" applyAlignment="1" applyProtection="1">
      <alignment horizontal="right" vertical="center" indent="1"/>
    </xf>
    <xf numFmtId="172" fontId="6" fillId="29" borderId="0" xfId="0" applyNumberFormat="1" applyFont="1" applyFill="1" applyBorder="1" applyAlignment="1" applyProtection="1">
      <alignment horizontal="left" vertical="center" indent="1"/>
    </xf>
    <xf numFmtId="2" fontId="6" fillId="28" borderId="0" xfId="0" applyNumberFormat="1" applyFont="1" applyFill="1" applyBorder="1" applyAlignment="1" applyProtection="1">
      <alignment horizontal="left" vertical="center" indent="1"/>
    </xf>
    <xf numFmtId="165" fontId="19" fillId="13" borderId="6" xfId="0" applyNumberFormat="1" applyFont="1" applyFill="1" applyBorder="1" applyAlignment="1" applyProtection="1">
      <alignment vertical="center" wrapText="1"/>
    </xf>
    <xf numFmtId="181" fontId="6" fillId="32" borderId="6" xfId="0" applyNumberFormat="1" applyFont="1" applyFill="1" applyBorder="1" applyAlignment="1" applyProtection="1">
      <alignment horizontal="left" vertical="center" indent="1"/>
    </xf>
    <xf numFmtId="182" fontId="6" fillId="32" borderId="16" xfId="0" applyNumberFormat="1" applyFont="1" applyFill="1" applyBorder="1" applyAlignment="1" applyProtection="1">
      <alignment horizontal="left" vertical="center" indent="1"/>
    </xf>
    <xf numFmtId="183" fontId="6" fillId="32" borderId="6" xfId="0" applyNumberFormat="1" applyFont="1" applyFill="1" applyBorder="1" applyAlignment="1" applyProtection="1">
      <alignment horizontal="left" vertical="center" indent="1"/>
    </xf>
    <xf numFmtId="0" fontId="6" fillId="9" borderId="6" xfId="0" applyFont="1" applyFill="1" applyBorder="1" applyAlignment="1" applyProtection="1">
      <alignment horizontal="left" vertical="center" indent="1"/>
    </xf>
    <xf numFmtId="0" fontId="6" fillId="9" borderId="8" xfId="0" applyFont="1" applyFill="1" applyBorder="1" applyAlignment="1" applyProtection="1">
      <alignment horizontal="left" vertical="center" indent="1"/>
    </xf>
    <xf numFmtId="0" fontId="6" fillId="9" borderId="17" xfId="0" applyFont="1" applyFill="1" applyBorder="1" applyAlignment="1" applyProtection="1">
      <alignment horizontal="left" vertical="center" indent="1"/>
    </xf>
    <xf numFmtId="0" fontId="6" fillId="16" borderId="8" xfId="0" applyFont="1" applyFill="1" applyBorder="1" applyAlignment="1" applyProtection="1">
      <alignment horizontal="left" vertical="center" indent="1"/>
    </xf>
    <xf numFmtId="0" fontId="6" fillId="11" borderId="1" xfId="0" applyFont="1" applyFill="1" applyBorder="1" applyAlignment="1" applyProtection="1">
      <alignment horizontal="left" vertical="center" indent="1"/>
    </xf>
    <xf numFmtId="0" fontId="6" fillId="11" borderId="13" xfId="0" applyFont="1" applyFill="1" applyBorder="1" applyAlignment="1" applyProtection="1">
      <alignment horizontal="left" vertical="center" indent="1"/>
    </xf>
    <xf numFmtId="0" fontId="0" fillId="13" borderId="1" xfId="0" applyFont="1" applyFill="1" applyBorder="1" applyAlignment="1" applyProtection="1">
      <alignment horizontal="left" vertical="center" indent="1"/>
    </xf>
    <xf numFmtId="0" fontId="0" fillId="13" borderId="3" xfId="0" applyFont="1" applyFill="1" applyBorder="1" applyAlignment="1" applyProtection="1">
      <alignment horizontal="left" vertical="center" indent="1"/>
    </xf>
    <xf numFmtId="187" fontId="0" fillId="13" borderId="6" xfId="0" applyNumberFormat="1" applyFont="1" applyFill="1" applyBorder="1" applyAlignment="1" applyProtection="1">
      <alignment horizontal="left" vertical="center" indent="1"/>
    </xf>
    <xf numFmtId="0" fontId="0" fillId="28" borderId="0" xfId="0" applyFill="1" applyProtection="1"/>
    <xf numFmtId="169" fontId="7" fillId="54" borderId="6" xfId="1" applyNumberFormat="1" applyFont="1" applyFill="1" applyBorder="1" applyAlignment="1" applyProtection="1">
      <alignment horizontal="left" vertical="center" indent="1"/>
    </xf>
    <xf numFmtId="170" fontId="0" fillId="13" borderId="6" xfId="0" applyNumberFormat="1" applyFont="1" applyFill="1" applyBorder="1" applyAlignment="1" applyProtection="1">
      <alignment horizontal="left" vertical="center" indent="1"/>
    </xf>
    <xf numFmtId="171" fontId="0" fillId="13" borderId="6" xfId="0" applyNumberFormat="1" applyFont="1" applyFill="1" applyBorder="1" applyAlignment="1" applyProtection="1">
      <alignment horizontal="left" vertical="center" indent="1"/>
    </xf>
    <xf numFmtId="0" fontId="22" fillId="28" borderId="0" xfId="0" applyFont="1" applyFill="1" applyProtection="1"/>
    <xf numFmtId="0" fontId="22" fillId="52" borderId="0" xfId="0" applyFont="1" applyFill="1" applyBorder="1" applyAlignment="1" applyProtection="1">
      <alignment horizontal="left" vertical="center" indent="1"/>
    </xf>
    <xf numFmtId="0" fontId="22" fillId="28" borderId="0" xfId="0" applyFont="1" applyFill="1" applyBorder="1" applyProtection="1"/>
    <xf numFmtId="0" fontId="22" fillId="0" borderId="0" xfId="0" applyFont="1" applyAlignment="1" applyProtection="1">
      <alignment horizontal="left" indent="1"/>
      <protection locked="0"/>
    </xf>
    <xf numFmtId="0" fontId="22" fillId="5" borderId="0" xfId="0" applyFont="1" applyFill="1" applyAlignment="1" applyProtection="1">
      <protection locked="0"/>
    </xf>
    <xf numFmtId="0" fontId="19" fillId="44" borderId="6" xfId="0" applyFont="1" applyFill="1" applyBorder="1" applyAlignment="1" applyProtection="1">
      <protection locked="0"/>
    </xf>
    <xf numFmtId="192" fontId="6" fillId="10" borderId="6" xfId="0" applyNumberFormat="1" applyFont="1" applyFill="1" applyBorder="1" applyAlignment="1" applyProtection="1">
      <alignment horizontal="left" vertical="center" indent="1"/>
      <protection locked="0"/>
    </xf>
    <xf numFmtId="0" fontId="22" fillId="28" borderId="0" xfId="0" applyFont="1" applyFill="1" applyProtection="1">
      <protection locked="0"/>
    </xf>
    <xf numFmtId="2" fontId="0" fillId="44" borderId="6" xfId="0" applyNumberFormat="1" applyFill="1" applyBorder="1" applyAlignment="1" applyProtection="1">
      <alignment horizontal="center"/>
      <protection locked="0"/>
    </xf>
    <xf numFmtId="0" fontId="0" fillId="44" borderId="6" xfId="0" applyFill="1" applyBorder="1" applyProtection="1">
      <protection locked="0"/>
    </xf>
    <xf numFmtId="0" fontId="22" fillId="28" borderId="4" xfId="0" applyFont="1" applyFill="1" applyBorder="1" applyProtection="1">
      <protection locked="0"/>
    </xf>
    <xf numFmtId="0" fontId="0" fillId="44" borderId="8" xfId="0" applyFill="1" applyBorder="1" applyProtection="1">
      <protection locked="0"/>
    </xf>
    <xf numFmtId="202" fontId="0" fillId="44" borderId="6" xfId="0" applyNumberFormat="1" applyFill="1" applyBorder="1" applyProtection="1">
      <protection locked="0"/>
    </xf>
    <xf numFmtId="4" fontId="19" fillId="35" borderId="6" xfId="0" applyNumberFormat="1" applyFont="1" applyFill="1" applyBorder="1" applyProtection="1">
      <protection locked="0"/>
    </xf>
    <xf numFmtId="0" fontId="39" fillId="28" borderId="5" xfId="0" applyFont="1" applyFill="1" applyBorder="1" applyProtection="1">
      <protection locked="0"/>
    </xf>
    <xf numFmtId="0" fontId="0" fillId="28" borderId="9" xfId="0" applyFill="1" applyBorder="1" applyProtection="1">
      <protection locked="0"/>
    </xf>
    <xf numFmtId="0" fontId="0" fillId="28" borderId="10" xfId="0" applyFill="1" applyBorder="1" applyProtection="1">
      <protection locked="0"/>
    </xf>
    <xf numFmtId="0" fontId="39" fillId="28" borderId="4" xfId="0" applyFont="1" applyFill="1" applyBorder="1" applyProtection="1">
      <protection locked="0"/>
    </xf>
    <xf numFmtId="0" fontId="0" fillId="28" borderId="0" xfId="0" applyFill="1" applyBorder="1" applyProtection="1">
      <protection locked="0"/>
    </xf>
    <xf numFmtId="0" fontId="0" fillId="28" borderId="7" xfId="0" applyFill="1" applyBorder="1" applyProtection="1">
      <protection locked="0"/>
    </xf>
    <xf numFmtId="0" fontId="0" fillId="28" borderId="4" xfId="0" applyFill="1" applyBorder="1" applyProtection="1">
      <protection locked="0"/>
    </xf>
    <xf numFmtId="0" fontId="0" fillId="28" borderId="4" xfId="0" quotePrefix="1" applyFill="1" applyBorder="1" applyProtection="1">
      <protection locked="0"/>
    </xf>
    <xf numFmtId="0" fontId="0" fillId="28" borderId="11" xfId="0" quotePrefix="1" applyFill="1" applyBorder="1" applyProtection="1">
      <protection locked="0"/>
    </xf>
    <xf numFmtId="0" fontId="0" fillId="28" borderId="12" xfId="0" applyFill="1" applyBorder="1" applyProtection="1">
      <protection locked="0"/>
    </xf>
    <xf numFmtId="0" fontId="0" fillId="28" borderId="13" xfId="0" applyFill="1" applyBorder="1" applyProtection="1">
      <protection locked="0"/>
    </xf>
    <xf numFmtId="0" fontId="0" fillId="28" borderId="5" xfId="0" applyFill="1" applyBorder="1" applyAlignment="1">
      <alignment vertical="center" wrapText="1"/>
    </xf>
    <xf numFmtId="0" fontId="0" fillId="28" borderId="9" xfId="0" applyFill="1" applyBorder="1" applyAlignment="1">
      <alignment vertical="center" wrapText="1"/>
    </xf>
    <xf numFmtId="0" fontId="0" fillId="28" borderId="10" xfId="0" applyFill="1" applyBorder="1" applyAlignment="1">
      <alignment vertical="center" wrapText="1"/>
    </xf>
    <xf numFmtId="0" fontId="0" fillId="28" borderId="4" xfId="0" applyFill="1" applyBorder="1" applyAlignment="1">
      <alignment vertical="center" wrapText="1"/>
    </xf>
    <xf numFmtId="0" fontId="0" fillId="28" borderId="0" xfId="0" applyFill="1" applyBorder="1" applyAlignment="1">
      <alignment vertical="center" wrapText="1"/>
    </xf>
    <xf numFmtId="0" fontId="0" fillId="28" borderId="7" xfId="0" applyFill="1" applyBorder="1" applyAlignment="1">
      <alignment vertical="center" wrapText="1"/>
    </xf>
    <xf numFmtId="0" fontId="57" fillId="28" borderId="4" xfId="0" applyFont="1" applyFill="1" applyBorder="1" applyAlignment="1">
      <alignment horizontal="center"/>
    </xf>
    <xf numFmtId="0" fontId="57" fillId="28" borderId="0" xfId="0" applyFont="1" applyFill="1" applyBorder="1" applyAlignment="1">
      <alignment horizontal="center"/>
    </xf>
    <xf numFmtId="0" fontId="0" fillId="28" borderId="0" xfId="0" applyFill="1" applyAlignment="1">
      <alignment vertical="top"/>
    </xf>
    <xf numFmtId="0" fontId="16" fillId="28" borderId="4" xfId="0" applyFont="1" applyFill="1" applyBorder="1" applyAlignment="1">
      <alignment vertical="center" wrapText="1"/>
    </xf>
    <xf numFmtId="0" fontId="16" fillId="28" borderId="0" xfId="0" applyFont="1" applyFill="1" applyBorder="1" applyAlignment="1">
      <alignment vertical="center" wrapText="1"/>
    </xf>
    <xf numFmtId="0" fontId="16" fillId="28" borderId="7" xfId="0" applyFont="1" applyFill="1" applyBorder="1" applyAlignment="1">
      <alignment vertical="center" wrapText="1"/>
    </xf>
    <xf numFmtId="0" fontId="16" fillId="28" borderId="11" xfId="0" applyFont="1" applyFill="1" applyBorder="1" applyAlignment="1">
      <alignment vertical="center" wrapText="1"/>
    </xf>
    <xf numFmtId="0" fontId="16" fillId="28" borderId="12" xfId="0" applyFont="1" applyFill="1" applyBorder="1" applyAlignment="1">
      <alignment vertical="center" wrapText="1"/>
    </xf>
    <xf numFmtId="0" fontId="16" fillId="28" borderId="13" xfId="0" applyFont="1" applyFill="1" applyBorder="1" applyAlignment="1">
      <alignment vertical="center" wrapText="1"/>
    </xf>
    <xf numFmtId="0" fontId="37" fillId="28" borderId="12" xfId="9" applyFill="1" applyBorder="1" applyAlignment="1">
      <alignment vertical="center"/>
    </xf>
    <xf numFmtId="0" fontId="37" fillId="28" borderId="13" xfId="9" applyFill="1" applyBorder="1" applyAlignment="1">
      <alignment vertical="center"/>
    </xf>
    <xf numFmtId="0" fontId="16" fillId="28" borderId="0" xfId="0" applyFont="1" applyFill="1" applyBorder="1" applyAlignment="1">
      <alignment vertical="center"/>
    </xf>
    <xf numFmtId="0" fontId="37" fillId="28" borderId="0" xfId="9" applyFill="1" applyBorder="1" applyAlignment="1" applyProtection="1">
      <alignment vertical="center"/>
      <protection locked="0"/>
    </xf>
    <xf numFmtId="0" fontId="16" fillId="28" borderId="4" xfId="0" applyFont="1" applyFill="1" applyBorder="1" applyAlignment="1">
      <alignment vertical="top" wrapText="1"/>
    </xf>
    <xf numFmtId="0" fontId="16" fillId="28" borderId="0" xfId="0" applyFont="1" applyFill="1" applyBorder="1" applyAlignment="1">
      <alignment vertical="top" wrapText="1"/>
    </xf>
    <xf numFmtId="0" fontId="16" fillId="28" borderId="7" xfId="0" applyFont="1" applyFill="1" applyBorder="1" applyAlignment="1">
      <alignment vertical="top" wrapText="1"/>
    </xf>
    <xf numFmtId="0" fontId="19" fillId="28" borderId="0" xfId="0" applyFont="1" applyFill="1" applyBorder="1" applyAlignment="1">
      <alignment horizontal="right" vertical="top" wrapText="1"/>
    </xf>
    <xf numFmtId="0" fontId="16" fillId="28" borderId="0" xfId="0" applyFont="1" applyFill="1" applyBorder="1" applyAlignment="1">
      <alignment horizontal="right" vertical="center" wrapText="1"/>
    </xf>
    <xf numFmtId="0" fontId="37" fillId="28" borderId="0" xfId="9" applyFill="1" applyBorder="1" applyAlignment="1" applyProtection="1">
      <alignment horizontal="left" vertical="center" wrapText="1"/>
      <protection locked="0"/>
    </xf>
    <xf numFmtId="0" fontId="16" fillId="28" borderId="4" xfId="0" applyFont="1" applyFill="1" applyBorder="1" applyAlignment="1">
      <alignment horizontal="center" vertical="top" wrapText="1"/>
    </xf>
    <xf numFmtId="0" fontId="16" fillId="28" borderId="0" xfId="0" applyFont="1" applyFill="1" applyBorder="1" applyAlignment="1">
      <alignment horizontal="center" vertical="top" wrapText="1"/>
    </xf>
    <xf numFmtId="0" fontId="16" fillId="28" borderId="7" xfId="0" applyFont="1" applyFill="1" applyBorder="1" applyAlignment="1">
      <alignment horizontal="center" vertical="top" wrapText="1"/>
    </xf>
    <xf numFmtId="0" fontId="37" fillId="28" borderId="0" xfId="9" applyFill="1" applyBorder="1" applyAlignment="1" applyProtection="1">
      <alignment horizontal="left" vertical="top" wrapText="1"/>
      <protection locked="0"/>
    </xf>
    <xf numFmtId="0" fontId="16" fillId="28" borderId="5" xfId="0" applyFont="1" applyFill="1" applyBorder="1" applyAlignment="1">
      <alignment horizontal="left" vertical="center" wrapText="1"/>
    </xf>
    <xf numFmtId="0" fontId="16" fillId="28" borderId="9" xfId="0" applyFont="1" applyFill="1" applyBorder="1" applyAlignment="1">
      <alignment horizontal="left" vertical="center" wrapText="1"/>
    </xf>
    <xf numFmtId="0" fontId="16" fillId="28" borderId="10" xfId="0" applyFont="1" applyFill="1" applyBorder="1" applyAlignment="1">
      <alignment horizontal="left" vertical="center" wrapText="1"/>
    </xf>
    <xf numFmtId="0" fontId="16" fillId="28" borderId="4" xfId="0" applyFont="1" applyFill="1" applyBorder="1" applyAlignment="1">
      <alignment horizontal="left" vertical="center" wrapText="1"/>
    </xf>
    <xf numFmtId="0" fontId="16" fillId="28" borderId="0" xfId="0" applyFont="1" applyFill="1" applyBorder="1" applyAlignment="1">
      <alignment horizontal="left" vertical="center" wrapText="1"/>
    </xf>
    <xf numFmtId="0" fontId="16" fillId="28" borderId="7" xfId="0" applyFont="1" applyFill="1" applyBorder="1" applyAlignment="1">
      <alignment horizontal="left" vertical="center" wrapText="1"/>
    </xf>
    <xf numFmtId="0" fontId="16" fillId="28" borderId="4" xfId="0" applyFont="1" applyFill="1" applyBorder="1" applyAlignment="1">
      <alignment horizontal="right" vertical="center" wrapText="1"/>
    </xf>
    <xf numFmtId="0" fontId="56" fillId="40" borderId="5" xfId="0" applyFont="1" applyFill="1" applyBorder="1" applyAlignment="1">
      <alignment horizontal="center" vertical="center"/>
    </xf>
    <xf numFmtId="0" fontId="56" fillId="40" borderId="9" xfId="0" applyFont="1" applyFill="1" applyBorder="1" applyAlignment="1">
      <alignment horizontal="center" vertical="center"/>
    </xf>
    <xf numFmtId="0" fontId="56" fillId="40" borderId="10" xfId="0" applyFont="1" applyFill="1" applyBorder="1" applyAlignment="1">
      <alignment horizontal="center" vertical="center"/>
    </xf>
    <xf numFmtId="0" fontId="56" fillId="40" borderId="11" xfId="0" applyFont="1" applyFill="1" applyBorder="1" applyAlignment="1">
      <alignment horizontal="center" vertical="center"/>
    </xf>
    <xf numFmtId="0" fontId="56" fillId="40" borderId="12" xfId="0" applyFont="1" applyFill="1" applyBorder="1" applyAlignment="1">
      <alignment horizontal="center" vertical="center"/>
    </xf>
    <xf numFmtId="0" fontId="56" fillId="40" borderId="13" xfId="0" applyFont="1" applyFill="1" applyBorder="1" applyAlignment="1">
      <alignment horizontal="center" vertical="center"/>
    </xf>
    <xf numFmtId="0" fontId="0" fillId="28" borderId="6" xfId="0" applyFill="1" applyBorder="1" applyAlignment="1">
      <alignment horizontal="left" vertical="center" wrapText="1"/>
    </xf>
    <xf numFmtId="0" fontId="57" fillId="63" borderId="5" xfId="0" applyFont="1" applyFill="1" applyBorder="1" applyAlignment="1">
      <alignment horizontal="center"/>
    </xf>
    <xf numFmtId="0" fontId="57" fillId="63" borderId="9" xfId="0" applyFont="1" applyFill="1" applyBorder="1" applyAlignment="1">
      <alignment horizontal="center"/>
    </xf>
    <xf numFmtId="0" fontId="57" fillId="63" borderId="10" xfId="0" applyFont="1" applyFill="1" applyBorder="1" applyAlignment="1">
      <alignment horizontal="center"/>
    </xf>
    <xf numFmtId="0" fontId="57" fillId="63" borderId="11" xfId="0" applyFont="1" applyFill="1" applyBorder="1" applyAlignment="1">
      <alignment horizontal="center"/>
    </xf>
    <xf numFmtId="0" fontId="57" fillId="63" borderId="12" xfId="0" applyFont="1" applyFill="1" applyBorder="1" applyAlignment="1">
      <alignment horizontal="center"/>
    </xf>
    <xf numFmtId="0" fontId="57" fillId="63" borderId="13" xfId="0" applyFont="1" applyFill="1" applyBorder="1" applyAlignment="1">
      <alignment horizontal="center"/>
    </xf>
    <xf numFmtId="0" fontId="0" fillId="28" borderId="5" xfId="0" applyFill="1" applyBorder="1" applyAlignment="1">
      <alignment horizontal="center" vertical="center" wrapText="1"/>
    </xf>
    <xf numFmtId="0" fontId="0" fillId="28" borderId="9" xfId="0" applyFill="1" applyBorder="1" applyAlignment="1">
      <alignment horizontal="center" vertical="center" wrapText="1"/>
    </xf>
    <xf numFmtId="0" fontId="0" fillId="28" borderId="10" xfId="0" applyFill="1" applyBorder="1" applyAlignment="1">
      <alignment horizontal="center" vertical="center" wrapText="1"/>
    </xf>
    <xf numFmtId="0" fontId="0" fillId="28" borderId="4" xfId="0" applyFill="1" applyBorder="1" applyAlignment="1">
      <alignment horizontal="center" vertical="center" wrapText="1"/>
    </xf>
    <xf numFmtId="0" fontId="0" fillId="28" borderId="0" xfId="0" applyFill="1" applyBorder="1" applyAlignment="1">
      <alignment horizontal="center" vertical="center" wrapText="1"/>
    </xf>
    <xf numFmtId="0" fontId="0" fillId="28" borderId="7" xfId="0" applyFill="1" applyBorder="1" applyAlignment="1">
      <alignment horizontal="center" vertical="center" wrapText="1"/>
    </xf>
    <xf numFmtId="0" fontId="0" fillId="28" borderId="11" xfId="0" applyFill="1" applyBorder="1" applyAlignment="1">
      <alignment horizontal="center" vertical="center" wrapText="1"/>
    </xf>
    <xf numFmtId="0" fontId="0" fillId="28" borderId="12" xfId="0" applyFill="1" applyBorder="1" applyAlignment="1">
      <alignment horizontal="center" vertical="center" wrapText="1"/>
    </xf>
    <xf numFmtId="0" fontId="0" fillId="28" borderId="13" xfId="0" applyFill="1" applyBorder="1" applyAlignment="1">
      <alignment horizontal="center" vertical="center" wrapText="1"/>
    </xf>
    <xf numFmtId="0" fontId="16" fillId="28" borderId="11" xfId="0" applyFont="1" applyFill="1" applyBorder="1" applyAlignment="1">
      <alignment horizontal="left" vertical="center" wrapText="1"/>
    </xf>
    <xf numFmtId="0" fontId="16" fillId="28" borderId="12" xfId="0" applyFont="1" applyFill="1" applyBorder="1" applyAlignment="1">
      <alignment horizontal="left" vertical="center" wrapText="1"/>
    </xf>
    <xf numFmtId="0" fontId="16" fillId="28" borderId="13" xfId="0" applyFont="1" applyFill="1" applyBorder="1" applyAlignment="1">
      <alignment horizontal="left" vertical="center" wrapText="1"/>
    </xf>
    <xf numFmtId="0" fontId="34" fillId="27" borderId="1" xfId="0" applyFont="1" applyFill="1" applyBorder="1" applyAlignment="1" applyProtection="1">
      <alignment horizontal="center"/>
    </xf>
    <xf numFmtId="0" fontId="34" fillId="27" borderId="2" xfId="0" applyFont="1" applyFill="1" applyBorder="1" applyAlignment="1" applyProtection="1">
      <alignment horizontal="center"/>
    </xf>
    <xf numFmtId="0" fontId="34" fillId="27" borderId="3" xfId="0" applyFont="1" applyFill="1" applyBorder="1" applyAlignment="1" applyProtection="1">
      <alignment horizontal="center"/>
    </xf>
    <xf numFmtId="0" fontId="19" fillId="26" borderId="1" xfId="0" applyFont="1" applyFill="1" applyBorder="1" applyAlignment="1" applyProtection="1">
      <alignment horizontal="center"/>
    </xf>
    <xf numFmtId="0" fontId="19" fillId="26" borderId="3" xfId="0" applyFont="1" applyFill="1" applyBorder="1" applyAlignment="1" applyProtection="1">
      <alignment horizontal="center"/>
    </xf>
    <xf numFmtId="0" fontId="19" fillId="39" borderId="17" xfId="0" applyFont="1" applyFill="1" applyBorder="1" applyAlignment="1" applyProtection="1">
      <alignment horizontal="center" wrapText="1"/>
    </xf>
    <xf numFmtId="0" fontId="19" fillId="48" borderId="6" xfId="0" applyFont="1" applyFill="1" applyBorder="1" applyAlignment="1" applyProtection="1">
      <alignment horizontal="center"/>
    </xf>
    <xf numFmtId="165" fontId="0" fillId="13" borderId="6" xfId="0" applyNumberFormat="1" applyFont="1" applyFill="1" applyBorder="1" applyAlignment="1" applyProtection="1">
      <alignment horizontal="center" vertical="center" wrapText="1"/>
    </xf>
    <xf numFmtId="165" fontId="0" fillId="13" borderId="8" xfId="0" applyNumberFormat="1" applyFont="1" applyFill="1" applyBorder="1" applyAlignment="1" applyProtection="1">
      <alignment horizontal="center" vertical="center" wrapText="1"/>
    </xf>
    <xf numFmtId="165" fontId="0" fillId="13" borderId="16" xfId="0" applyNumberFormat="1" applyFont="1" applyFill="1" applyBorder="1" applyAlignment="1" applyProtection="1">
      <alignment horizontal="center" vertical="center" wrapText="1"/>
    </xf>
    <xf numFmtId="0" fontId="6" fillId="15" borderId="6" xfId="0" applyFont="1" applyFill="1" applyBorder="1" applyAlignment="1" applyProtection="1">
      <alignment horizontal="center" vertical="center"/>
    </xf>
    <xf numFmtId="0" fontId="6" fillId="7" borderId="6" xfId="0" applyFont="1" applyFill="1" applyBorder="1" applyAlignment="1" applyProtection="1">
      <alignment horizontal="center" vertical="center"/>
    </xf>
    <xf numFmtId="2" fontId="0" fillId="13" borderId="5" xfId="0" applyNumberFormat="1" applyFont="1" applyFill="1" applyBorder="1" applyAlignment="1" applyProtection="1">
      <alignment horizontal="center" vertical="center" wrapText="1"/>
    </xf>
    <xf numFmtId="2" fontId="0" fillId="13" borderId="9" xfId="0" applyNumberFormat="1" applyFont="1" applyFill="1" applyBorder="1" applyAlignment="1" applyProtection="1">
      <alignment horizontal="center" vertical="center" wrapText="1"/>
    </xf>
    <xf numFmtId="2" fontId="0" fillId="13" borderId="10" xfId="0" applyNumberFormat="1" applyFont="1" applyFill="1" applyBorder="1" applyAlignment="1" applyProtection="1">
      <alignment horizontal="center" vertical="center" wrapText="1"/>
    </xf>
    <xf numFmtId="2" fontId="0" fillId="13" borderId="11" xfId="0" applyNumberFormat="1" applyFont="1" applyFill="1" applyBorder="1" applyAlignment="1" applyProtection="1">
      <alignment horizontal="center" vertical="center" wrapText="1"/>
    </xf>
    <xf numFmtId="2" fontId="0" fillId="13" borderId="12" xfId="0" applyNumberFormat="1" applyFont="1" applyFill="1" applyBorder="1" applyAlignment="1" applyProtection="1">
      <alignment horizontal="center" vertical="center" wrapText="1"/>
    </xf>
    <xf numFmtId="2" fontId="0" fillId="13" borderId="13" xfId="0" applyNumberFormat="1" applyFont="1" applyFill="1" applyBorder="1" applyAlignment="1" applyProtection="1">
      <alignment horizontal="center" vertical="center" wrapText="1"/>
    </xf>
    <xf numFmtId="0" fontId="33" fillId="36" borderId="6" xfId="0" applyFont="1" applyFill="1" applyBorder="1" applyAlignment="1" applyProtection="1">
      <alignment horizontal="left" vertical="center"/>
      <protection locked="0"/>
    </xf>
    <xf numFmtId="0" fontId="0" fillId="0" borderId="0" xfId="0" applyFont="1" applyAlignment="1" applyProtection="1">
      <alignment horizontal="center"/>
    </xf>
    <xf numFmtId="0" fontId="0" fillId="28" borderId="0" xfId="0" applyFont="1" applyFill="1" applyBorder="1"/>
    <xf numFmtId="0" fontId="6" fillId="7" borderId="1" xfId="0" applyFont="1" applyFill="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31" borderId="1" xfId="0" applyFont="1" applyFill="1" applyBorder="1" applyAlignment="1" applyProtection="1">
      <alignment horizontal="center" vertical="center"/>
    </xf>
    <xf numFmtId="0" fontId="6" fillId="31" borderId="2" xfId="0" applyFont="1" applyFill="1" applyBorder="1" applyAlignment="1" applyProtection="1">
      <alignment horizontal="center" vertical="center"/>
    </xf>
    <xf numFmtId="0" fontId="6" fillId="31" borderId="3" xfId="0" applyFont="1" applyFill="1" applyBorder="1" applyAlignment="1" applyProtection="1">
      <alignment horizontal="center" vertical="center"/>
    </xf>
    <xf numFmtId="184" fontId="0" fillId="13" borderId="6" xfId="0" applyNumberFormat="1" applyFont="1" applyFill="1" applyBorder="1" applyAlignment="1" applyProtection="1">
      <alignment horizontal="center" vertical="center"/>
      <protection locked="0"/>
    </xf>
    <xf numFmtId="0" fontId="0" fillId="12" borderId="1" xfId="0" applyFont="1" applyFill="1" applyBorder="1" applyAlignment="1" applyProtection="1">
      <alignment horizontal="center"/>
    </xf>
    <xf numFmtId="0" fontId="0" fillId="12" borderId="2" xfId="0" applyFont="1" applyFill="1" applyBorder="1" applyAlignment="1" applyProtection="1">
      <alignment horizontal="center"/>
    </xf>
    <xf numFmtId="0" fontId="0" fillId="12" borderId="3" xfId="0" applyFont="1" applyFill="1" applyBorder="1" applyAlignment="1" applyProtection="1">
      <alignment horizontal="center"/>
    </xf>
    <xf numFmtId="2" fontId="6" fillId="43" borderId="6" xfId="0" applyNumberFormat="1" applyFont="1" applyFill="1" applyBorder="1" applyAlignment="1" applyProtection="1">
      <alignment horizontal="center" vertical="center"/>
    </xf>
    <xf numFmtId="2" fontId="0" fillId="13" borderId="6" xfId="0" applyNumberFormat="1" applyFont="1" applyFill="1" applyBorder="1" applyAlignment="1" applyProtection="1">
      <alignment horizontal="center" vertical="center" wrapText="1"/>
    </xf>
    <xf numFmtId="2" fontId="6" fillId="32" borderId="1" xfId="0" applyNumberFormat="1" applyFont="1" applyFill="1" applyBorder="1" applyAlignment="1" applyProtection="1">
      <alignment horizontal="center" vertical="center"/>
    </xf>
    <xf numFmtId="2" fontId="6" fillId="32" borderId="2" xfId="0" applyNumberFormat="1" applyFont="1" applyFill="1" applyBorder="1" applyAlignment="1" applyProtection="1">
      <alignment horizontal="center" vertical="center"/>
    </xf>
    <xf numFmtId="2" fontId="6" fillId="32" borderId="3" xfId="0" applyNumberFormat="1" applyFont="1" applyFill="1" applyBorder="1" applyAlignment="1" applyProtection="1">
      <alignment horizontal="center" vertical="center"/>
    </xf>
    <xf numFmtId="0" fontId="6" fillId="9" borderId="6" xfId="0" applyFont="1" applyFill="1" applyBorder="1" applyAlignment="1" applyProtection="1">
      <alignment horizontal="center" vertical="center"/>
    </xf>
    <xf numFmtId="0" fontId="0" fillId="28" borderId="0" xfId="0" applyFill="1" applyProtection="1"/>
    <xf numFmtId="170" fontId="6" fillId="30" borderId="1" xfId="0" applyNumberFormat="1" applyFont="1" applyFill="1" applyBorder="1" applyAlignment="1" applyProtection="1">
      <alignment horizontal="center" vertical="center"/>
    </xf>
    <xf numFmtId="170" fontId="6" fillId="30" borderId="3" xfId="0" applyNumberFormat="1" applyFont="1" applyFill="1" applyBorder="1" applyAlignment="1" applyProtection="1">
      <alignment horizontal="center" vertical="center"/>
    </xf>
    <xf numFmtId="0" fontId="6" fillId="32" borderId="6" xfId="0" applyFont="1" applyFill="1" applyBorder="1" applyAlignment="1" applyProtection="1">
      <alignment horizontal="left" vertical="center"/>
    </xf>
    <xf numFmtId="0" fontId="6" fillId="9" borderId="1" xfId="0" applyFont="1" applyFill="1" applyBorder="1" applyAlignment="1" applyProtection="1">
      <alignment horizontal="center" vertical="center"/>
    </xf>
    <xf numFmtId="0" fontId="6" fillId="9" borderId="3" xfId="0" applyFont="1" applyFill="1" applyBorder="1" applyAlignment="1" applyProtection="1">
      <alignment horizontal="center" vertical="center"/>
    </xf>
    <xf numFmtId="0" fontId="6" fillId="9" borderId="2" xfId="0" applyFont="1" applyFill="1" applyBorder="1" applyAlignment="1" applyProtection="1">
      <alignment horizontal="center" vertical="center"/>
    </xf>
    <xf numFmtId="0" fontId="6" fillId="16" borderId="6" xfId="0" applyFont="1" applyFill="1" applyBorder="1" applyAlignment="1" applyProtection="1">
      <alignment horizontal="center" vertical="center"/>
    </xf>
    <xf numFmtId="0" fontId="19" fillId="45" borderId="6" xfId="0" applyFont="1" applyFill="1" applyBorder="1" applyAlignment="1" applyProtection="1">
      <alignment horizontal="center"/>
    </xf>
    <xf numFmtId="165" fontId="19" fillId="13" borderId="16" xfId="0" applyNumberFormat="1" applyFont="1" applyFill="1" applyBorder="1" applyAlignment="1" applyProtection="1">
      <alignment horizontal="center" vertical="center" wrapText="1"/>
    </xf>
    <xf numFmtId="165" fontId="19" fillId="13" borderId="8" xfId="0" applyNumberFormat="1" applyFont="1" applyFill="1" applyBorder="1" applyAlignment="1" applyProtection="1">
      <alignment horizontal="center" vertical="center" wrapText="1"/>
    </xf>
    <xf numFmtId="166" fontId="16" fillId="29" borderId="6" xfId="0" applyNumberFormat="1" applyFont="1" applyFill="1" applyBorder="1" applyAlignment="1" applyProtection="1">
      <alignment horizontal="left" vertical="center" wrapText="1"/>
    </xf>
    <xf numFmtId="0" fontId="22" fillId="28" borderId="0" xfId="0" applyFont="1" applyFill="1" applyBorder="1" applyAlignment="1">
      <alignment horizontal="center"/>
    </xf>
    <xf numFmtId="0" fontId="22" fillId="51" borderId="0" xfId="0" applyFont="1" applyFill="1"/>
    <xf numFmtId="211" fontId="0" fillId="35" borderId="16" xfId="0" applyNumberFormat="1" applyFill="1" applyBorder="1" applyAlignment="1">
      <alignment horizontal="right" vertical="center"/>
    </xf>
    <xf numFmtId="211" fontId="0" fillId="35" borderId="8" xfId="0" applyNumberFormat="1" applyFill="1" applyBorder="1" applyAlignment="1">
      <alignment horizontal="right" vertical="center"/>
    </xf>
    <xf numFmtId="0" fontId="0" fillId="39" borderId="6" xfId="0" applyFill="1" applyBorder="1" applyAlignment="1">
      <alignment horizontal="center" wrapText="1"/>
    </xf>
    <xf numFmtId="0" fontId="0" fillId="39" borderId="6" xfId="0" applyFill="1" applyBorder="1" applyAlignment="1">
      <alignment horizontal="left"/>
    </xf>
    <xf numFmtId="0" fontId="16" fillId="39" borderId="1" xfId="0" applyFont="1" applyFill="1" applyBorder="1" applyAlignment="1">
      <alignment horizontal="center" vertical="center"/>
    </xf>
    <xf numFmtId="0" fontId="16" fillId="39" borderId="2" xfId="0" applyFont="1" applyFill="1" applyBorder="1" applyAlignment="1">
      <alignment horizontal="center" vertical="center"/>
    </xf>
    <xf numFmtId="0" fontId="16" fillId="39" borderId="3" xfId="0" applyFont="1" applyFill="1" applyBorder="1" applyAlignment="1">
      <alignment horizontal="center" vertical="center"/>
    </xf>
    <xf numFmtId="0" fontId="19" fillId="28" borderId="6" xfId="0" applyFont="1" applyFill="1" applyBorder="1" applyAlignment="1">
      <alignment horizontal="center"/>
    </xf>
    <xf numFmtId="0" fontId="21" fillId="0" borderId="6" xfId="0" applyFont="1" applyBorder="1" applyAlignment="1">
      <alignment horizontal="center" wrapText="1"/>
    </xf>
    <xf numFmtId="0" fontId="19" fillId="39" borderId="6" xfId="0" applyFont="1" applyFill="1" applyBorder="1" applyAlignment="1">
      <alignment horizontal="center" vertical="center"/>
    </xf>
    <xf numFmtId="0" fontId="0" fillId="39" borderId="8" xfId="0" applyFill="1" applyBorder="1" applyAlignment="1">
      <alignment horizontal="center"/>
    </xf>
    <xf numFmtId="0" fontId="0" fillId="39" borderId="6" xfId="0" applyFill="1" applyBorder="1" applyAlignment="1">
      <alignment horizontal="center"/>
    </xf>
    <xf numFmtId="10" fontId="0" fillId="0" borderId="6" xfId="6" applyNumberFormat="1" applyFont="1" applyBorder="1" applyAlignment="1">
      <alignment horizontal="center"/>
    </xf>
    <xf numFmtId="0" fontId="51" fillId="28" borderId="6" xfId="0" applyFont="1" applyFill="1" applyBorder="1" applyAlignment="1">
      <alignment horizontal="center"/>
    </xf>
    <xf numFmtId="187" fontId="0" fillId="35" borderId="1" xfId="0" applyNumberFormat="1" applyFill="1" applyBorder="1" applyAlignment="1">
      <alignment horizontal="center"/>
    </xf>
    <xf numFmtId="187" fontId="0" fillId="35" borderId="3" xfId="0" applyNumberFormat="1" applyFill="1" applyBorder="1" applyAlignment="1">
      <alignment horizontal="center"/>
    </xf>
    <xf numFmtId="0" fontId="0" fillId="39" borderId="6" xfId="0" applyFill="1" applyBorder="1" applyAlignment="1">
      <alignment horizontal="left" wrapText="1"/>
    </xf>
    <xf numFmtId="203" fontId="0" fillId="35" borderId="6" xfId="0" applyNumberFormat="1" applyFill="1" applyBorder="1" applyAlignment="1">
      <alignment horizontal="right" vertical="center"/>
    </xf>
    <xf numFmtId="212" fontId="0" fillId="44" borderId="6" xfId="0" applyNumberFormat="1" applyFill="1" applyBorder="1" applyAlignment="1" applyProtection="1">
      <alignment horizontal="center"/>
      <protection locked="0"/>
    </xf>
    <xf numFmtId="212" fontId="0" fillId="44" borderId="1" xfId="0" applyNumberFormat="1" applyFill="1" applyBorder="1" applyAlignment="1" applyProtection="1">
      <alignment horizontal="center"/>
      <protection locked="0"/>
    </xf>
    <xf numFmtId="0" fontId="0" fillId="39" borderId="6" xfId="0" applyFill="1" applyBorder="1" applyAlignment="1">
      <alignment horizontal="left" vertical="top" wrapText="1"/>
    </xf>
    <xf numFmtId="187" fontId="0" fillId="35" borderId="16" xfId="0" applyNumberFormat="1" applyFill="1" applyBorder="1" applyAlignment="1">
      <alignment horizontal="right" vertical="center"/>
    </xf>
    <xf numFmtId="187" fontId="0" fillId="35" borderId="8" xfId="0" applyNumberFormat="1" applyFill="1" applyBorder="1" applyAlignment="1">
      <alignment horizontal="right" vertical="center"/>
    </xf>
    <xf numFmtId="194" fontId="0" fillId="39" borderId="6" xfId="0" applyNumberFormat="1" applyFill="1" applyBorder="1" applyAlignment="1">
      <alignment horizontal="center"/>
    </xf>
    <xf numFmtId="0" fontId="43" fillId="39" borderId="6" xfId="0" applyFont="1" applyFill="1" applyBorder="1" applyAlignment="1">
      <alignment horizontal="center" vertical="center"/>
    </xf>
    <xf numFmtId="0" fontId="0" fillId="39" borderId="1" xfId="0" applyFill="1" applyBorder="1" applyAlignment="1">
      <alignment horizontal="center"/>
    </xf>
    <xf numFmtId="0" fontId="0" fillId="39" borderId="2" xfId="0" applyFill="1" applyBorder="1" applyAlignment="1">
      <alignment horizontal="center"/>
    </xf>
    <xf numFmtId="0" fontId="0" fillId="39" borderId="3" xfId="0" applyFill="1" applyBorder="1" applyAlignment="1">
      <alignment horizontal="center"/>
    </xf>
    <xf numFmtId="0" fontId="0" fillId="35" borderId="6" xfId="0" applyFill="1" applyBorder="1" applyAlignment="1">
      <alignment horizontal="center"/>
    </xf>
    <xf numFmtId="194" fontId="0" fillId="39" borderId="6" xfId="0" applyNumberFormat="1" applyFont="1" applyFill="1" applyBorder="1" applyAlignment="1">
      <alignment horizontal="center"/>
    </xf>
    <xf numFmtId="0" fontId="0" fillId="44" borderId="6" xfId="0" applyFill="1" applyBorder="1" applyAlignment="1" applyProtection="1">
      <alignment horizontal="center"/>
      <protection locked="0"/>
    </xf>
    <xf numFmtId="0" fontId="0" fillId="39" borderId="6" xfId="0" applyFill="1" applyBorder="1" applyAlignment="1">
      <alignment horizontal="center" vertical="center"/>
    </xf>
    <xf numFmtId="10" fontId="19" fillId="0" borderId="6" xfId="6" applyNumberFormat="1" applyFont="1" applyBorder="1" applyAlignment="1">
      <alignment horizontal="center"/>
    </xf>
    <xf numFmtId="0" fontId="0" fillId="39" borderId="6" xfId="0" applyFill="1" applyBorder="1" applyAlignment="1">
      <alignment horizontal="center" vertical="center" wrapText="1"/>
    </xf>
    <xf numFmtId="6" fontId="0" fillId="44" borderId="6" xfId="0" applyNumberFormat="1" applyFill="1" applyBorder="1" applyAlignment="1" applyProtection="1">
      <alignment horizontal="center"/>
      <protection locked="0"/>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50" fillId="28" borderId="0" xfId="0" applyFont="1" applyFill="1" applyBorder="1" applyAlignment="1">
      <alignment horizontal="center"/>
    </xf>
    <xf numFmtId="0" fontId="49" fillId="39" borderId="6" xfId="0" applyFont="1" applyFill="1" applyBorder="1" applyAlignment="1">
      <alignment horizontal="center" vertical="center" wrapText="1"/>
    </xf>
    <xf numFmtId="0" fontId="0" fillId="13" borderId="6" xfId="0" applyFont="1" applyFill="1" applyBorder="1" applyAlignment="1" applyProtection="1">
      <alignment horizontal="center" vertical="center"/>
      <protection locked="0"/>
    </xf>
    <xf numFmtId="0" fontId="0" fillId="13" borderId="3" xfId="0" applyFont="1" applyFill="1" applyBorder="1" applyAlignment="1" applyProtection="1">
      <alignment horizontal="center" vertical="center"/>
      <protection locked="0"/>
    </xf>
    <xf numFmtId="0" fontId="22" fillId="28" borderId="0" xfId="0" applyFont="1" applyFill="1" applyAlignment="1">
      <alignment horizontal="center"/>
    </xf>
    <xf numFmtId="0" fontId="0" fillId="35" borderId="6" xfId="0" applyFill="1" applyBorder="1" applyAlignment="1">
      <alignment horizontal="center" vertical="center" wrapText="1"/>
    </xf>
    <xf numFmtId="0" fontId="0" fillId="39" borderId="6" xfId="0" applyFill="1" applyBorder="1" applyAlignment="1">
      <alignment horizontal="left" vertical="center" indent="3"/>
    </xf>
    <xf numFmtId="0" fontId="0" fillId="0" borderId="6" xfId="0" applyBorder="1" applyAlignment="1">
      <alignment horizontal="center" wrapText="1"/>
    </xf>
    <xf numFmtId="0" fontId="50" fillId="28" borderId="0" xfId="0" applyFont="1" applyFill="1" applyAlignment="1">
      <alignment horizontal="center"/>
    </xf>
    <xf numFmtId="0" fontId="38" fillId="39" borderId="6" xfId="0" applyFont="1" applyFill="1" applyBorder="1" applyAlignment="1">
      <alignment horizontal="left" vertical="center"/>
    </xf>
    <xf numFmtId="0" fontId="0" fillId="41" borderId="6" xfId="0" applyFill="1" applyBorder="1" applyAlignment="1">
      <alignment horizontal="center"/>
    </xf>
    <xf numFmtId="0" fontId="19" fillId="39" borderId="1" xfId="0" applyFont="1" applyFill="1" applyBorder="1" applyAlignment="1">
      <alignment horizontal="center"/>
    </xf>
    <xf numFmtId="0" fontId="19" fillId="39" borderId="2" xfId="0" applyFont="1" applyFill="1" applyBorder="1" applyAlignment="1">
      <alignment horizontal="center"/>
    </xf>
    <xf numFmtId="0" fontId="19" fillId="39" borderId="3" xfId="0" applyFont="1" applyFill="1" applyBorder="1" applyAlignment="1">
      <alignment horizontal="center"/>
    </xf>
    <xf numFmtId="9" fontId="0" fillId="0" borderId="0" xfId="6" applyFont="1" applyAlignment="1" applyProtection="1">
      <alignment horizontal="center"/>
    </xf>
    <xf numFmtId="10" fontId="0" fillId="0" borderId="0" xfId="0" applyNumberFormat="1" applyFont="1" applyAlignment="1" applyProtection="1">
      <alignment horizontal="center"/>
    </xf>
    <xf numFmtId="10" fontId="0" fillId="0" borderId="0" xfId="0" applyNumberFormat="1" applyAlignment="1">
      <alignment horizontal="center"/>
    </xf>
    <xf numFmtId="10" fontId="0" fillId="0" borderId="0" xfId="6" applyNumberFormat="1" applyFont="1" applyAlignment="1" applyProtection="1">
      <alignment horizontal="center"/>
    </xf>
    <xf numFmtId="9" fontId="0" fillId="0" borderId="0" xfId="6" applyFont="1" applyAlignment="1">
      <alignment horizontal="center"/>
    </xf>
    <xf numFmtId="0" fontId="19" fillId="47" borderId="6" xfId="0" applyFont="1" applyFill="1" applyBorder="1" applyAlignment="1" applyProtection="1">
      <alignment horizontal="center"/>
    </xf>
    <xf numFmtId="0" fontId="19" fillId="47" borderId="6" xfId="0" applyFont="1" applyFill="1" applyBorder="1" applyAlignment="1">
      <alignment horizontal="center"/>
    </xf>
    <xf numFmtId="0" fontId="8" fillId="45" borderId="1" xfId="0" applyFont="1" applyFill="1" applyBorder="1" applyAlignment="1" applyProtection="1">
      <alignment horizontal="center"/>
    </xf>
    <xf numFmtId="0" fontId="8" fillId="45" borderId="3" xfId="0" applyFont="1" applyFill="1" applyBorder="1" applyAlignment="1" applyProtection="1">
      <alignment horizontal="center"/>
    </xf>
    <xf numFmtId="0" fontId="42" fillId="0" borderId="0" xfId="0" applyFont="1" applyAlignment="1" applyProtection="1">
      <alignment horizontal="center"/>
    </xf>
    <xf numFmtId="0" fontId="19" fillId="42" borderId="6" xfId="0" applyFont="1" applyFill="1" applyBorder="1" applyAlignment="1" applyProtection="1">
      <alignment horizontal="center"/>
    </xf>
    <xf numFmtId="0" fontId="6" fillId="41" borderId="6" xfId="0" applyFont="1" applyFill="1" applyBorder="1" applyAlignment="1" applyProtection="1">
      <alignment horizontal="center"/>
    </xf>
    <xf numFmtId="0" fontId="8" fillId="41" borderId="6" xfId="0" applyFont="1" applyFill="1" applyBorder="1" applyAlignment="1" applyProtection="1">
      <alignment horizontal="center"/>
    </xf>
    <xf numFmtId="0" fontId="8" fillId="45" borderId="6" xfId="0" applyFont="1" applyFill="1" applyBorder="1" applyAlignment="1" applyProtection="1">
      <alignment horizontal="center"/>
    </xf>
    <xf numFmtId="0" fontId="6" fillId="9" borderId="1" xfId="0" applyFont="1" applyFill="1" applyBorder="1" applyAlignment="1" applyProtection="1">
      <alignment horizontal="center" vertical="center"/>
      <protection locked="0"/>
    </xf>
    <xf numFmtId="0" fontId="6" fillId="9" borderId="3" xfId="0" applyFont="1" applyFill="1" applyBorder="1" applyAlignment="1" applyProtection="1">
      <alignment horizontal="center" vertical="center"/>
      <protection locked="0"/>
    </xf>
    <xf numFmtId="0" fontId="6" fillId="9" borderId="5" xfId="0" applyFont="1" applyFill="1" applyBorder="1" applyAlignment="1" applyProtection="1">
      <alignment horizontal="center" vertical="center"/>
      <protection locked="0"/>
    </xf>
    <xf numFmtId="0" fontId="6" fillId="9" borderId="10" xfId="0" applyFont="1" applyFill="1" applyBorder="1" applyAlignment="1" applyProtection="1">
      <alignment horizontal="center" vertical="center"/>
      <protection locked="0"/>
    </xf>
    <xf numFmtId="2" fontId="19" fillId="47" borderId="6" xfId="0" applyNumberFormat="1" applyFont="1" applyFill="1" applyBorder="1" applyAlignment="1" applyProtection="1">
      <alignment horizontal="center"/>
    </xf>
    <xf numFmtId="10" fontId="19" fillId="47" borderId="6" xfId="6" applyNumberFormat="1" applyFont="1" applyFill="1" applyBorder="1" applyAlignment="1" applyProtection="1">
      <alignment horizontal="center"/>
    </xf>
    <xf numFmtId="2" fontId="0" fillId="40" borderId="6" xfId="0" applyNumberFormat="1" applyFont="1" applyFill="1" applyBorder="1" applyAlignment="1" applyProtection="1">
      <alignment horizontal="center" wrapText="1"/>
    </xf>
    <xf numFmtId="2" fontId="0" fillId="40" borderId="6" xfId="0" applyNumberFormat="1" applyFont="1" applyFill="1" applyBorder="1" applyAlignment="1" applyProtection="1">
      <alignment horizontal="center"/>
    </xf>
    <xf numFmtId="0" fontId="0" fillId="40" borderId="6" xfId="0" applyFont="1" applyFill="1" applyBorder="1" applyAlignment="1" applyProtection="1">
      <alignment horizontal="center"/>
    </xf>
    <xf numFmtId="10" fontId="19" fillId="35" borderId="17" xfId="6" applyNumberFormat="1" applyFont="1" applyFill="1" applyBorder="1" applyAlignment="1" applyProtection="1">
      <alignment horizontal="center"/>
    </xf>
    <xf numFmtId="0" fontId="0" fillId="39" borderId="6" xfId="0" applyFont="1" applyFill="1" applyBorder="1" applyAlignment="1" applyProtection="1">
      <alignment horizontal="center"/>
    </xf>
    <xf numFmtId="10" fontId="19" fillId="35" borderId="3" xfId="6" applyNumberFormat="1" applyFont="1" applyFill="1" applyBorder="1" applyAlignment="1" applyProtection="1">
      <alignment horizontal="center"/>
    </xf>
    <xf numFmtId="10" fontId="19" fillId="35" borderId="6" xfId="6" applyNumberFormat="1" applyFont="1" applyFill="1" applyBorder="1" applyAlignment="1" applyProtection="1">
      <alignment horizontal="center"/>
    </xf>
    <xf numFmtId="2" fontId="19" fillId="35" borderId="6" xfId="0" applyNumberFormat="1" applyFont="1" applyFill="1" applyBorder="1" applyAlignment="1" applyProtection="1">
      <alignment horizontal="center"/>
    </xf>
    <xf numFmtId="0" fontId="19" fillId="41" borderId="1" xfId="0" applyFont="1" applyFill="1" applyBorder="1" applyAlignment="1" applyProtection="1">
      <alignment horizontal="center"/>
    </xf>
    <xf numFmtId="0" fontId="19" fillId="41" borderId="2" xfId="0" applyFont="1" applyFill="1" applyBorder="1" applyAlignment="1" applyProtection="1">
      <alignment horizontal="center"/>
    </xf>
    <xf numFmtId="0" fontId="19" fillId="41" borderId="3" xfId="0" applyFont="1" applyFill="1" applyBorder="1" applyAlignment="1" applyProtection="1">
      <alignment horizontal="center"/>
    </xf>
    <xf numFmtId="2" fontId="0" fillId="40" borderId="3" xfId="0" applyNumberFormat="1" applyFont="1" applyFill="1" applyBorder="1" applyAlignment="1" applyProtection="1">
      <alignment horizontal="center"/>
    </xf>
    <xf numFmtId="0" fontId="19" fillId="35" borderId="6" xfId="0" applyFont="1" applyFill="1" applyBorder="1" applyAlignment="1" applyProtection="1">
      <alignment horizontal="center"/>
    </xf>
    <xf numFmtId="10" fontId="19" fillId="35" borderId="16" xfId="6" applyNumberFormat="1" applyFont="1" applyFill="1" applyBorder="1" applyAlignment="1" applyProtection="1">
      <alignment horizontal="center"/>
    </xf>
    <xf numFmtId="0" fontId="0" fillId="39" borderId="5" xfId="0" applyFont="1" applyFill="1" applyBorder="1" applyAlignment="1" applyProtection="1">
      <alignment horizontal="center"/>
    </xf>
    <xf numFmtId="0" fontId="0" fillId="39" borderId="4" xfId="0" applyFont="1" applyFill="1" applyBorder="1" applyAlignment="1" applyProtection="1">
      <alignment horizontal="center"/>
    </xf>
    <xf numFmtId="0" fontId="6" fillId="8" borderId="6" xfId="0" applyFont="1" applyFill="1" applyBorder="1" applyAlignment="1" applyProtection="1">
      <alignment horizontal="center" vertical="center" indent="1"/>
      <protection locked="0"/>
    </xf>
    <xf numFmtId="0" fontId="8" fillId="7" borderId="1" xfId="0" applyFont="1" applyFill="1" applyBorder="1" applyAlignment="1" applyProtection="1">
      <alignment horizontal="center"/>
    </xf>
    <xf numFmtId="0" fontId="8" fillId="7" borderId="2" xfId="0" applyFont="1" applyFill="1" applyBorder="1" applyAlignment="1" applyProtection="1">
      <alignment horizontal="center"/>
    </xf>
    <xf numFmtId="0" fontId="8" fillId="7" borderId="3" xfId="0" applyFont="1" applyFill="1" applyBorder="1" applyAlignment="1" applyProtection="1">
      <alignment horizontal="center"/>
    </xf>
    <xf numFmtId="0" fontId="8" fillId="9" borderId="6" xfId="0" applyFont="1" applyFill="1" applyBorder="1" applyAlignment="1" applyProtection="1">
      <alignment horizontal="center"/>
    </xf>
    <xf numFmtId="0" fontId="19" fillId="48" borderId="11" xfId="0" applyFont="1" applyFill="1" applyBorder="1" applyAlignment="1" applyProtection="1">
      <alignment horizontal="center"/>
    </xf>
    <xf numFmtId="0" fontId="19" fillId="48" borderId="12" xfId="0" applyFont="1" applyFill="1" applyBorder="1" applyAlignment="1" applyProtection="1">
      <alignment horizontal="center"/>
    </xf>
    <xf numFmtId="2" fontId="19" fillId="48" borderId="6" xfId="0" applyNumberFormat="1" applyFont="1" applyFill="1" applyBorder="1" applyAlignment="1" applyProtection="1">
      <alignment horizontal="center"/>
    </xf>
    <xf numFmtId="10" fontId="19" fillId="48" borderId="6" xfId="6" applyNumberFormat="1" applyFont="1" applyFill="1" applyBorder="1" applyAlignment="1" applyProtection="1">
      <alignment horizontal="center"/>
    </xf>
    <xf numFmtId="0" fontId="19" fillId="39" borderId="6" xfId="0" applyFont="1" applyFill="1" applyBorder="1" applyAlignment="1">
      <alignment horizontal="center"/>
    </xf>
    <xf numFmtId="0" fontId="0" fillId="57" borderId="6" xfId="0" applyFill="1" applyBorder="1" applyAlignment="1">
      <alignment horizontal="center"/>
    </xf>
    <xf numFmtId="0" fontId="0" fillId="0" borderId="24" xfId="0" applyBorder="1" applyAlignment="1">
      <alignment horizontal="center"/>
    </xf>
    <xf numFmtId="0" fontId="0" fillId="0" borderId="8" xfId="0" applyBorder="1" applyAlignment="1">
      <alignment horizontal="center"/>
    </xf>
    <xf numFmtId="0" fontId="0" fillId="60" borderId="1" xfId="0" applyFill="1" applyBorder="1" applyAlignment="1">
      <alignment horizontal="center"/>
    </xf>
    <xf numFmtId="0" fontId="0" fillId="60" borderId="2" xfId="0" applyFill="1" applyBorder="1" applyAlignment="1">
      <alignment horizontal="center"/>
    </xf>
    <xf numFmtId="0" fontId="0" fillId="60" borderId="3" xfId="0" applyFill="1" applyBorder="1" applyAlignment="1">
      <alignment horizontal="center"/>
    </xf>
    <xf numFmtId="0" fontId="36" fillId="0" borderId="0" xfId="0" applyFont="1" applyAlignment="1">
      <alignment horizontal="center"/>
    </xf>
    <xf numFmtId="0" fontId="11" fillId="8" borderId="6" xfId="0" applyFont="1" applyFill="1" applyBorder="1" applyAlignment="1" applyProtection="1">
      <alignment horizontal="center" vertical="center" indent="1"/>
    </xf>
    <xf numFmtId="0" fontId="11" fillId="8" borderId="6" xfId="0" applyFont="1" applyFill="1" applyBorder="1" applyAlignment="1">
      <alignment horizontal="center" vertical="center" indent="1"/>
    </xf>
  </cellXfs>
  <cellStyles count="12">
    <cellStyle name="Good 1" xfId="1" xr:uid="{00000000-0005-0000-0000-000000000000}"/>
    <cellStyle name="Gut" xfId="8" builtinId="26"/>
    <cellStyle name="Kein-Wert-gegeben" xfId="2" xr:uid="{00000000-0005-0000-0000-000001000000}"/>
    <cellStyle name="Link" xfId="9" builtinId="8"/>
    <cellStyle name="Null-Punkte" xfId="3" xr:uid="{00000000-0005-0000-0000-000003000000}"/>
    <cellStyle name="Prozent" xfId="6" builtinId="5"/>
    <cellStyle name="Standard" xfId="0" builtinId="0"/>
    <cellStyle name="Standard 2" xfId="11" xr:uid="{86DF4B49-7139-48C7-9DA5-0EEC2BEC5496}"/>
    <cellStyle name="Standard 3" xfId="7" xr:uid="{8834F0D5-B165-42E6-945D-B677C31D3A73}"/>
    <cellStyle name="Untitled1" xfId="4" xr:uid="{00000000-0005-0000-0000-000004000000}"/>
    <cellStyle name="Währung" xfId="10" builtinId="4"/>
    <cellStyle name="whiteout" xfId="5" xr:uid="{00000000-0005-0000-0000-000005000000}"/>
  </cellStyles>
  <dxfs count="1316">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color theme="0"/>
      </font>
      <fill>
        <patternFill patternType="none">
          <fgColor indexed="64"/>
          <bgColor auto="1"/>
        </patternFill>
      </fill>
      <border>
        <left/>
        <right/>
        <top/>
        <bottom/>
        <vertical/>
        <horizontal/>
      </border>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ill>
        <patternFill>
          <bgColor theme="6" tint="0.79998168889431442"/>
        </patternFill>
      </fill>
    </dxf>
    <dxf>
      <fill>
        <patternFill>
          <bgColor rgb="FFFFFFCC"/>
        </patternFill>
      </fill>
    </dxf>
    <dxf>
      <fill>
        <patternFill>
          <bgColor theme="5" tint="0.79998168889431442"/>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CC0000"/>
        <name val="Arial"/>
      </font>
      <fill>
        <patternFill>
          <bgColor rgb="FFFFCC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9E9E9E"/>
        <name val="Arial"/>
      </font>
      <fill>
        <patternFill>
          <bgColor rgb="FFE0E0E0"/>
        </patternFill>
      </fill>
    </dxf>
    <dxf>
      <font>
        <color rgb="FF006600"/>
        <name val="Arial"/>
      </font>
      <fill>
        <patternFill>
          <bgColor rgb="FFCCFFCC"/>
        </patternFill>
      </fill>
    </dxf>
    <dxf>
      <font>
        <color rgb="FFCC0000"/>
        <name val="Arial"/>
      </font>
      <fill>
        <patternFill>
          <bgColor rgb="FFFFCCCC"/>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9E9E9E"/>
        <name val="Arial"/>
      </font>
      <fill>
        <patternFill>
          <bgColor rgb="FFE0E0E0"/>
        </patternFill>
      </fill>
    </dxf>
    <dxf>
      <font>
        <color rgb="FF006600"/>
        <name val="Arial"/>
      </font>
      <fill>
        <patternFill>
          <bgColor rgb="FFCCFFCC"/>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rgb="FF9E9E9E"/>
        <name val="Arial"/>
      </font>
      <fill>
        <patternFill>
          <bgColor rgb="FFE0E0E0"/>
        </patternFill>
      </fill>
    </dxf>
    <dxf>
      <font>
        <color rgb="FF9E9E9E"/>
        <name val="Arial"/>
      </font>
      <fill>
        <patternFill>
          <bgColor rgb="FFE0E0E0"/>
        </patternFill>
      </fill>
    </dxf>
    <dxf>
      <font>
        <color rgb="FFCC0000"/>
        <name val="Arial"/>
      </font>
      <fill>
        <patternFill>
          <bgColor rgb="FFFFCCCC"/>
        </patternFill>
      </fill>
    </dxf>
    <dxf>
      <font>
        <color rgb="FF006600"/>
        <name val="Arial"/>
      </font>
      <fill>
        <patternFill>
          <bgColor rgb="FFCCFFCC"/>
        </patternFill>
      </fill>
    </dxf>
    <dxf>
      <font>
        <color theme="0"/>
      </font>
      <fill>
        <patternFill>
          <fgColor theme="0"/>
          <bgColor theme="0"/>
        </patternFill>
      </fill>
      <border>
        <left/>
        <right/>
        <top/>
        <bottom/>
        <vertical/>
        <horizontal/>
      </border>
    </dxf>
    <dxf>
      <font>
        <color theme="0"/>
      </font>
      <fill>
        <patternFill patternType="solid">
          <fgColor theme="0"/>
          <bgColor theme="0"/>
        </patternFill>
      </fill>
      <border>
        <left/>
        <right/>
        <top/>
        <bottom/>
        <vertical/>
        <horizontal/>
      </border>
    </dxf>
    <dxf>
      <font>
        <color rgb="FF9E9E9E"/>
        <name val="Arial"/>
      </font>
      <fill>
        <patternFill>
          <bgColor rgb="FFE0E0E0"/>
        </patternFill>
      </fill>
    </dxf>
    <dxf>
      <font>
        <color rgb="FF006600"/>
        <name val="Arial"/>
      </font>
      <fill>
        <patternFill>
          <bgColor rgb="FFCCFFCC"/>
        </patternFill>
      </fill>
    </dxf>
    <dxf>
      <font>
        <color rgb="FFCC0000"/>
        <name val="Arial"/>
      </font>
      <fill>
        <patternFill>
          <bgColor rgb="FFFFCCCC"/>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5" tint="0.59996337778862885"/>
        </patternFill>
      </fill>
    </dxf>
    <dxf>
      <fill>
        <patternFill>
          <bgColor theme="5" tint="0.59996337778862885"/>
        </patternFill>
      </fill>
    </dxf>
    <dxf>
      <fill>
        <patternFill>
          <bgColor theme="6" tint="0.79998168889431442"/>
        </patternFill>
      </fill>
    </dxf>
    <dxf>
      <fill>
        <patternFill>
          <bgColor theme="5" tint="0.59996337778862885"/>
        </patternFill>
      </fill>
    </dxf>
    <dxf>
      <fill>
        <patternFill>
          <bgColor theme="6" tint="0.79998168889431442"/>
        </patternFill>
      </fill>
    </dxf>
    <dxf>
      <fill>
        <patternFill>
          <bgColor theme="6" tint="0.79998168889431442"/>
        </patternFill>
      </fill>
    </dxf>
    <dxf>
      <fill>
        <patternFill>
          <bgColor theme="5" tint="0.59996337778862885"/>
        </patternFill>
      </fill>
    </dxf>
    <dxf>
      <fill>
        <patternFill>
          <bgColor rgb="FF92D050"/>
        </patternFill>
      </fill>
    </dxf>
    <dxf>
      <fill>
        <patternFill>
          <bgColor rgb="FFFFFF00"/>
        </patternFill>
      </fill>
    </dxf>
    <dxf>
      <fill>
        <patternFill>
          <bgColor theme="5" tint="0.39994506668294322"/>
        </patternFill>
      </fill>
    </dxf>
    <dxf>
      <fill>
        <patternFill>
          <bgColor rgb="FF92D050"/>
        </patternFill>
      </fill>
    </dxf>
    <dxf>
      <fill>
        <patternFill>
          <bgColor rgb="FFFFFF00"/>
        </patternFill>
      </fill>
    </dxf>
    <dxf>
      <fill>
        <patternFill>
          <bgColor theme="5" tint="0.39994506668294322"/>
        </patternFill>
      </fill>
    </dxf>
    <dxf>
      <fill>
        <patternFill>
          <bgColor theme="5" tint="0.39994506668294322"/>
        </patternFill>
      </fill>
    </dxf>
    <dxf>
      <fill>
        <patternFill>
          <bgColor rgb="FF92D050"/>
        </patternFill>
      </fill>
    </dxf>
    <dxf>
      <fill>
        <patternFill>
          <bgColor rgb="FFFFFF00"/>
        </patternFill>
      </fill>
    </dxf>
    <dxf>
      <font>
        <color theme="0"/>
      </font>
      <fill>
        <patternFill>
          <bgColor theme="0"/>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style="thin">
          <color auto="1"/>
        </right>
        <top style="thin">
          <color auto="1"/>
        </top>
        <bottom style="thin">
          <color auto="1"/>
        </bottom>
        <vertical/>
        <horizontal/>
      </border>
    </dxf>
    <dxf>
      <fill>
        <patternFill>
          <bgColor rgb="FF8F0100"/>
        </patternFill>
      </fill>
    </dxf>
    <dxf>
      <font>
        <color theme="0"/>
      </font>
      <fill>
        <patternFill>
          <fgColor theme="0"/>
          <bgColor theme="0"/>
        </patternFill>
      </fill>
      <border>
        <left/>
        <right/>
        <top/>
        <bottom/>
        <vertical/>
        <horizontal/>
      </border>
    </dxf>
    <dxf>
      <fill>
        <patternFill>
          <bgColor rgb="FF8F0100"/>
        </patternFill>
      </fill>
    </dxf>
    <dxf>
      <fill>
        <patternFill>
          <bgColor rgb="FFF77E2C"/>
        </patternFill>
      </fill>
    </dxf>
    <dxf>
      <fill>
        <patternFill>
          <bgColor rgb="FFFC4514"/>
        </patternFill>
      </fill>
    </dxf>
    <dxf>
      <fill>
        <patternFill>
          <bgColor rgb="FFEDC04F"/>
        </patternFill>
      </fill>
    </dxf>
    <dxf>
      <fill>
        <patternFill>
          <bgColor rgb="FFE5EA6B"/>
        </patternFill>
      </fill>
    </dxf>
    <dxf>
      <fill>
        <patternFill>
          <bgColor rgb="FFC7E16A"/>
        </patternFill>
      </fill>
    </dxf>
    <dxf>
      <fill>
        <patternFill>
          <bgColor rgb="FF9BCF5B"/>
        </patternFill>
      </fill>
    </dxf>
    <dxf>
      <fill>
        <patternFill>
          <bgColor rgb="FF58AE3A"/>
        </patternFill>
      </fill>
    </dxf>
    <dxf>
      <fill>
        <patternFill>
          <bgColor rgb="FF0E8303"/>
        </patternFill>
      </fill>
    </dxf>
    <dxf>
      <fill>
        <patternFill>
          <bgColor rgb="FF9BCF5B"/>
        </patternFill>
      </fill>
    </dxf>
    <dxf>
      <fill>
        <patternFill>
          <bgColor rgb="FF58AE3A"/>
        </patternFill>
      </fill>
    </dxf>
    <dxf>
      <fill>
        <patternFill>
          <bgColor rgb="FF0E8303"/>
        </patternFill>
      </fill>
    </dxf>
    <dxf>
      <fill>
        <patternFill>
          <bgColor rgb="FFFC4514"/>
        </patternFill>
      </fill>
    </dxf>
    <dxf>
      <fill>
        <patternFill>
          <bgColor rgb="FFF77E2C"/>
        </patternFill>
      </fill>
    </dxf>
    <dxf>
      <fill>
        <patternFill>
          <bgColor rgb="FFEDC04F"/>
        </patternFill>
      </fill>
    </dxf>
    <dxf>
      <fill>
        <patternFill>
          <bgColor rgb="FFC7E16A"/>
        </patternFill>
      </fill>
    </dxf>
    <dxf>
      <fill>
        <patternFill>
          <bgColor rgb="FFE5EA6B"/>
        </patternFill>
      </fill>
    </dxf>
    <dxf>
      <fill>
        <patternFill>
          <fgColor theme="0"/>
          <bgColor theme="0"/>
        </patternFill>
      </fill>
    </dxf>
    <dxf>
      <fill>
        <patternFill>
          <bgColor theme="6"/>
        </patternFill>
      </fill>
    </dxf>
    <dxf>
      <font>
        <b/>
        <i val="0"/>
        <color theme="0"/>
      </font>
      <fill>
        <patternFill>
          <bgColor rgb="FFFF0000"/>
        </patternFill>
      </fill>
    </dxf>
    <dxf>
      <font>
        <b/>
        <i val="0"/>
        <color theme="0"/>
      </font>
      <fill>
        <patternFill>
          <bgColor rgb="FFFF0000"/>
        </patternFill>
      </fill>
    </dxf>
    <dxf>
      <font>
        <b/>
        <i val="0"/>
      </font>
      <fill>
        <patternFill>
          <bgColor theme="6"/>
        </patternFill>
      </fill>
    </dxf>
    <dxf>
      <font>
        <b/>
        <i val="0"/>
        <color theme="0"/>
      </font>
      <fill>
        <patternFill>
          <fgColor rgb="FFFF0000"/>
          <bgColor rgb="FFFF0000"/>
        </patternFill>
      </fill>
      <border>
        <left style="thin">
          <color auto="1"/>
        </left>
        <right style="thin">
          <color auto="1"/>
        </right>
        <top style="thin">
          <color auto="1"/>
        </top>
        <bottom style="thin">
          <color auto="1"/>
        </bottom>
        <vertical/>
        <horizontal/>
      </border>
    </dxf>
    <dxf>
      <font>
        <b/>
        <i val="0"/>
      </font>
      <fill>
        <patternFill>
          <bgColor theme="6"/>
        </patternFill>
      </fill>
      <border>
        <left style="thin">
          <color auto="1"/>
        </left>
        <right style="thin">
          <color auto="1"/>
        </right>
        <top style="thin">
          <color auto="1"/>
        </top>
        <bottom style="thin">
          <color auto="1"/>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fgColor rgb="FFFF0000"/>
          <bgColor rgb="FFFF0000"/>
        </patternFill>
      </fill>
      <border>
        <left style="thin">
          <color auto="1"/>
        </left>
        <right style="thin">
          <color auto="1"/>
        </right>
        <top style="thin">
          <color auto="1"/>
        </top>
        <bottom style="thin">
          <color auto="1"/>
        </bottom>
        <vertical/>
        <horizontal/>
      </border>
    </dxf>
    <dxf>
      <font>
        <b/>
        <i val="0"/>
      </font>
      <fill>
        <patternFill>
          <bgColor theme="6"/>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border>
    </dxf>
    <dxf>
      <font>
        <color theme="0"/>
      </font>
      <fill>
        <patternFill>
          <fgColor theme="0"/>
          <bgColor theme="0"/>
        </patternFill>
      </fill>
      <border>
        <left/>
        <right/>
        <top/>
        <bottom/>
        <vertical/>
        <horizontal/>
      </border>
    </dxf>
    <dxf>
      <font>
        <color theme="0"/>
      </font>
      <fill>
        <patternFill patternType="none">
          <fgColor indexed="64"/>
          <bgColor auto="1"/>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5" tint="0.79998168889431442"/>
        </patternFill>
      </fill>
    </dxf>
    <dxf>
      <fill>
        <patternFill>
          <bgColor theme="6" tint="0.79998168889431442"/>
        </patternFill>
      </fill>
    </dxf>
    <dxf>
      <fill>
        <patternFill>
          <bgColor rgb="FFFFFFCC"/>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theme="6"/>
        </patternFill>
      </fill>
      <border>
        <left style="thin">
          <color auto="1"/>
        </left>
        <right style="thin">
          <color auto="1"/>
        </right>
        <top style="thin">
          <color auto="1"/>
        </top>
        <bottom style="thin">
          <color auto="1"/>
        </bottom>
        <vertical/>
        <horizontal/>
      </border>
    </dxf>
    <dxf>
      <font>
        <b/>
        <i val="0"/>
        <strike val="0"/>
        <outline val="0"/>
        <shadow val="0"/>
        <u val="none"/>
        <sz val="11"/>
        <color rgb="FFE0E0E0"/>
        <name val="Arial"/>
      </font>
      <numFmt numFmtId="0" formatCode="General"/>
      <fill>
        <patternFill>
          <bgColor rgb="FFE0E0E0"/>
        </patternFill>
      </fill>
    </dxf>
    <dxf>
      <font>
        <color theme="0"/>
      </font>
      <fill>
        <patternFill>
          <fgColor theme="0"/>
          <bgColor theme="0"/>
        </patternFill>
      </fill>
      <border>
        <left/>
        <right/>
        <top/>
        <bottom/>
        <vertical/>
        <horizontal/>
      </border>
    </dxf>
    <dxf>
      <font>
        <color theme="0"/>
      </font>
      <fill>
        <patternFill>
          <fgColor theme="0"/>
          <bgColor theme="0"/>
        </patternFill>
      </fill>
      <border>
        <top style="thin">
          <color auto="1"/>
        </top>
        <vertical/>
        <horizontal/>
      </border>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color theme="0"/>
      </font>
      <fill>
        <patternFill patternType="solid">
          <fgColor theme="0"/>
          <bgColor theme="0"/>
        </patternFill>
      </fill>
      <border>
        <left/>
        <right/>
        <top/>
        <bottom/>
        <vertical/>
        <horizontal/>
      </border>
    </dxf>
    <dxf>
      <font>
        <b/>
        <i val="0"/>
        <strike val="0"/>
        <outline val="0"/>
        <shadow val="0"/>
        <u val="none"/>
        <sz val="11"/>
        <color rgb="FFE0E0E0"/>
        <name val="Arial"/>
      </font>
      <numFmt numFmtId="0" formatCode="General"/>
      <fill>
        <patternFill>
          <bgColor rgb="FFE0E0E0"/>
        </patternFill>
      </fill>
    </dxf>
    <dxf>
      <font>
        <color theme="0"/>
      </font>
      <fill>
        <patternFill>
          <fgColor theme="0"/>
          <bgColor theme="0"/>
        </patternFill>
      </fill>
      <border>
        <left/>
        <right/>
        <top/>
        <bottom/>
        <vertical/>
        <horizontal/>
      </border>
    </dxf>
    <dxf>
      <font>
        <color theme="0"/>
      </font>
      <fill>
        <patternFill>
          <fgColor theme="0"/>
          <bgColor theme="0"/>
        </patternFill>
      </fill>
      <border>
        <top style="thin">
          <color auto="1"/>
        </top>
        <vertical/>
        <horizontal/>
      </border>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color auto="1"/>
      </font>
      <fill>
        <patternFill>
          <bgColor theme="6"/>
        </patternFill>
      </fill>
    </dxf>
    <dxf>
      <font>
        <color theme="0"/>
        <name val="Arial"/>
      </font>
      <fill>
        <patternFill>
          <bgColor rgb="FFFF0000"/>
        </patternFill>
      </fill>
    </dxf>
    <dxf>
      <font>
        <color auto="1"/>
        <name val="Arial"/>
      </font>
      <fill>
        <patternFill>
          <fgColor rgb="FFFFC000"/>
          <bgColor rgb="FFFFC000"/>
        </patternFill>
      </fill>
      <border>
        <left style="thin">
          <color auto="1"/>
        </left>
        <right style="thin">
          <color auto="1"/>
        </right>
        <top style="thin">
          <color auto="1"/>
        </top>
        <bottom style="thin">
          <color auto="1"/>
        </bottom>
      </border>
    </dxf>
    <dxf>
      <font>
        <color theme="0"/>
        <name val="Arial"/>
      </font>
      <fill>
        <patternFill>
          <fgColor rgb="FFFF0000"/>
          <bgColor rgb="FFFF0000"/>
        </patternFill>
      </fill>
    </dxf>
    <dxf>
      <font>
        <color theme="0"/>
      </font>
      <fill>
        <patternFill patternType="solid">
          <fgColor theme="0"/>
          <bgColor theme="0"/>
        </patternFill>
      </fill>
      <border>
        <left/>
        <right/>
        <top/>
        <bottom/>
        <vertical/>
        <horizontal/>
      </border>
    </dxf>
    <dxf>
      <font>
        <color theme="0"/>
        <name val="Arial"/>
      </font>
      <fill>
        <patternFill>
          <bgColor rgb="FFFF0000"/>
        </patternFill>
      </fill>
    </dxf>
    <dxf>
      <font>
        <color auto="1"/>
      </font>
      <fill>
        <patternFill>
          <bgColor theme="6"/>
        </patternFill>
      </fill>
    </dxf>
    <dxf>
      <font>
        <color auto="1"/>
      </font>
      <fill>
        <patternFill>
          <bgColor rgb="FFFFC000"/>
        </patternFill>
      </fill>
    </dxf>
    <dxf>
      <font>
        <color theme="0"/>
        <name val="Arial"/>
      </font>
      <fill>
        <patternFill>
          <fgColor rgb="FFFF0000"/>
          <bgColor rgb="FFFF0000"/>
        </patternFill>
      </fill>
    </dxf>
    <dxf>
      <font>
        <b/>
        <i val="0"/>
        <strike val="0"/>
        <outline val="0"/>
        <shadow val="0"/>
        <u val="none"/>
        <sz val="11"/>
        <color rgb="FFE0E0E0"/>
        <name val="Arial"/>
      </font>
      <numFmt numFmtId="0" formatCode="General"/>
      <fill>
        <patternFill>
          <bgColor rgb="FFE0E0E0"/>
        </patternFill>
      </fill>
    </dxf>
    <dxf>
      <font>
        <color theme="0"/>
        <name val="Arial"/>
      </font>
      <fill>
        <patternFill>
          <fgColor rgb="FFFF0000"/>
          <bgColor rgb="FFFF0000"/>
        </patternFill>
      </fill>
    </dxf>
    <dxf>
      <font>
        <color auto="1"/>
      </font>
      <fill>
        <patternFill>
          <bgColor theme="6"/>
        </patternFill>
      </fill>
    </dxf>
    <dxf>
      <font>
        <color theme="0"/>
        <name val="Arial"/>
      </font>
      <fill>
        <patternFill>
          <bgColor rgb="FFFF0000"/>
        </patternFill>
      </fill>
    </dxf>
    <dxf>
      <font>
        <color theme="0"/>
      </font>
      <fill>
        <patternFill>
          <fgColor theme="0"/>
          <bgColor theme="0"/>
        </patternFill>
      </fill>
      <border>
        <left/>
        <right/>
        <top/>
        <bottom/>
        <vertical/>
        <horizontal/>
      </border>
    </dxf>
    <dxf>
      <font>
        <color theme="0"/>
      </font>
      <fill>
        <patternFill>
          <fgColor theme="0"/>
          <bgColor theme="0"/>
        </patternFill>
      </fill>
      <border>
        <right style="thin">
          <color auto="1"/>
        </right>
        <top style="thin">
          <color auto="1"/>
        </top>
        <vertical/>
        <horizontal/>
      </border>
    </dxf>
    <dxf>
      <font>
        <b/>
        <i val="0"/>
        <strike val="0"/>
        <outline val="0"/>
        <shadow val="0"/>
        <u val="none"/>
        <sz val="11"/>
        <color rgb="FFE0E0E0"/>
        <name val="Arial"/>
      </font>
      <numFmt numFmtId="0" formatCode="General"/>
      <fill>
        <patternFill>
          <bgColor rgb="FFE0E0E0"/>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style="thin">
          <color auto="1"/>
        </top>
        <vertical/>
        <horizontal/>
      </border>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b/>
        <i val="0"/>
        <strike val="0"/>
        <outline val="0"/>
        <shadow val="0"/>
        <u val="none"/>
        <sz val="11"/>
        <color rgb="FFE0E0E0"/>
        <name val="Arial"/>
      </font>
      <numFmt numFmtId="0" formatCode="General"/>
      <fill>
        <patternFill>
          <bgColor rgb="FFE0E0E0"/>
        </patternFill>
      </fill>
    </dxf>
    <dxf>
      <font>
        <color auto="1"/>
      </font>
      <fill>
        <patternFill>
          <bgColor theme="6"/>
        </patternFill>
      </fill>
    </dxf>
    <dxf>
      <font>
        <color theme="0"/>
        <name val="Arial"/>
      </font>
      <fill>
        <patternFill>
          <bgColor rgb="FFFF0000"/>
        </patternFill>
      </fill>
    </dxf>
    <dxf>
      <font>
        <color theme="0"/>
        <name val="Arial"/>
      </font>
      <fill>
        <patternFill>
          <fgColor rgb="FFFF0000"/>
          <bgColor rgb="FFFF0000"/>
        </patternFill>
      </fill>
    </dxf>
    <dxf>
      <font>
        <color theme="0"/>
      </font>
      <fill>
        <patternFill patternType="solid">
          <fgColor theme="0"/>
          <bgColor theme="0"/>
        </patternFill>
      </fill>
      <border>
        <left/>
        <right/>
        <top/>
        <bottom/>
        <vertical/>
        <horizontal/>
      </border>
    </dxf>
    <dxf>
      <numFmt numFmtId="2" formatCode="0.00"/>
    </dxf>
    <dxf>
      <font>
        <color theme="0"/>
      </font>
      <fill>
        <patternFill>
          <fgColor theme="0"/>
          <bgColor theme="0"/>
        </patternFill>
      </fill>
      <border>
        <left/>
        <right/>
        <top/>
        <bottom/>
        <vertical/>
        <horizontal/>
      </border>
    </dxf>
    <dxf>
      <numFmt numFmtId="196" formatCode="0.0&quot; mV&quot;"/>
    </dxf>
    <dxf>
      <numFmt numFmtId="196" formatCode="0.0&quot; mV&quot;"/>
    </dxf>
    <dxf>
      <numFmt numFmtId="2" formatCode="0.00"/>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name val="Arial"/>
      </font>
      <fill>
        <patternFill>
          <fgColor rgb="FFFF0000"/>
          <bgColor rgb="FFFF0000"/>
        </patternFill>
      </fill>
    </dxf>
    <dxf>
      <font>
        <color theme="0"/>
        <name val="Arial"/>
      </font>
      <fill>
        <patternFill>
          <bgColor rgb="FFFF0000"/>
        </patternFill>
      </fill>
    </dxf>
    <dxf>
      <font>
        <color auto="1"/>
      </font>
      <fill>
        <patternFill>
          <bgColor theme="6"/>
        </patternFill>
      </fill>
    </dxf>
    <dxf>
      <font>
        <b/>
        <i val="0"/>
        <strike val="0"/>
        <outline val="0"/>
        <shadow val="0"/>
        <u val="none"/>
        <sz val="11"/>
        <color rgb="FFE0E0E0"/>
        <name val="Arial"/>
      </font>
      <numFmt numFmtId="0" formatCode="General"/>
      <fill>
        <patternFill>
          <bgColor rgb="FFE0E0E0"/>
        </patternFill>
      </fill>
    </dxf>
    <dxf>
      <font>
        <color auto="1"/>
        <name val="Arial"/>
      </font>
      <fill>
        <patternFill>
          <fgColor rgb="FFFFC000"/>
          <bgColor rgb="FFFFC000"/>
        </patternFill>
      </fill>
      <border>
        <left style="thin">
          <color auto="1"/>
        </left>
        <right style="thin">
          <color auto="1"/>
        </right>
        <top style="thin">
          <color auto="1"/>
        </top>
        <bottom style="thin">
          <color auto="1"/>
        </bottom>
      </border>
    </dxf>
    <dxf>
      <font>
        <b/>
        <i val="0"/>
        <strike val="0"/>
        <outline val="0"/>
        <shadow val="0"/>
        <u val="none"/>
        <sz val="11"/>
        <color rgb="FFE0E0E0"/>
        <name val="Arial"/>
      </font>
      <numFmt numFmtId="0" formatCode="General"/>
      <fill>
        <patternFill>
          <bgColor rgb="FFE0E0E0"/>
        </patternFill>
      </fill>
    </dxf>
    <dxf>
      <font>
        <color rgb="FFFFFF6D"/>
      </font>
    </dxf>
    <dxf>
      <font>
        <color theme="0"/>
      </font>
      <fill>
        <patternFill>
          <fgColor theme="0"/>
          <bgColor theme="0"/>
        </patternFill>
      </fill>
      <border>
        <left/>
        <right/>
        <top/>
        <bottom/>
        <vertical/>
        <horizontal/>
      </border>
    </dxf>
    <dxf>
      <font>
        <b/>
        <i val="0"/>
        <strike val="0"/>
        <outline val="0"/>
        <shadow val="0"/>
        <u val="none"/>
        <sz val="11"/>
        <color rgb="FFE0E0E0"/>
        <name val="Arial"/>
      </font>
      <numFmt numFmtId="0" formatCode="General"/>
      <fill>
        <patternFill>
          <bgColor rgb="FFE0E0E0"/>
        </patternFill>
      </fill>
    </dxf>
    <dxf>
      <font>
        <color theme="0"/>
        <name val="Arial"/>
      </font>
      <fill>
        <patternFill>
          <bgColor rgb="FFFF0000"/>
        </patternFill>
      </fill>
    </dxf>
    <dxf>
      <font>
        <color auto="1"/>
      </font>
      <fill>
        <patternFill>
          <bgColor theme="6"/>
        </patternFill>
      </fill>
    </dxf>
    <dxf>
      <font>
        <color theme="0"/>
        <name val="Arial"/>
      </font>
      <fill>
        <patternFill>
          <fgColor rgb="FFFF0000"/>
          <bgColor rgb="FFFF0000"/>
        </patternFill>
      </fill>
    </dxf>
    <dxf>
      <font>
        <b/>
        <i val="0"/>
        <color theme="1"/>
      </font>
      <fill>
        <patternFill>
          <bgColor theme="6"/>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rgb="FFFFFFFF"/>
        <name val="Arial"/>
      </font>
      <fill>
        <patternFill>
          <bgColor rgb="FFFFFFFF"/>
        </patternFill>
      </fill>
    </dxf>
    <dxf>
      <font>
        <b/>
        <i val="0"/>
        <strike val="0"/>
        <outline val="0"/>
        <shadow val="0"/>
        <u val="none"/>
        <sz val="11"/>
        <color rgb="FFE0E0E0"/>
        <name val="Arial"/>
      </font>
      <numFmt numFmtId="0" formatCode="General"/>
      <fill>
        <patternFill>
          <bgColor rgb="FFE0E0E0"/>
        </patternFill>
      </fill>
    </dxf>
    <dxf>
      <font>
        <color auto="1"/>
      </font>
      <fill>
        <patternFill>
          <bgColor theme="6"/>
        </patternFill>
      </fill>
    </dxf>
    <dxf>
      <font>
        <color theme="0"/>
        <name val="Arial"/>
      </font>
      <fill>
        <patternFill>
          <fgColor rgb="FFFF0000"/>
          <bgColor rgb="FFFF0000"/>
        </patternFill>
      </fill>
    </dxf>
    <dxf>
      <font>
        <color theme="0"/>
        <name val="Arial"/>
      </font>
      <fill>
        <patternFill>
          <bgColor rgb="FFFF0000"/>
        </patternFill>
      </fill>
    </dxf>
    <dxf>
      <font>
        <color theme="0"/>
        <name val="Arial"/>
      </font>
      <fill>
        <patternFill>
          <fgColor rgb="FFFF0000"/>
          <bgColor rgb="FFFF0000"/>
        </patternFill>
      </fill>
    </dxf>
    <dxf>
      <font>
        <b/>
        <i val="0"/>
        <color theme="1"/>
      </font>
      <numFmt numFmtId="172" formatCode="0.00&quot; K&quot;"/>
      <fill>
        <patternFill>
          <bgColor rgb="FFFFFF6D"/>
        </patternFill>
      </fill>
      <border>
        <left style="thin">
          <color auto="1"/>
        </left>
        <right style="thin">
          <color auto="1"/>
        </right>
        <top style="thin">
          <color auto="1"/>
        </top>
        <bottom style="thin">
          <color auto="1"/>
        </bottom>
        <vertical/>
        <horizontal/>
      </border>
    </dxf>
    <dxf>
      <font>
        <b/>
        <i val="0"/>
        <color theme="1"/>
      </font>
      <numFmt numFmtId="172" formatCode="0.00&quot; K&quot;"/>
      <fill>
        <patternFill>
          <bgColor rgb="FFFFFF6D"/>
        </patternFill>
      </fill>
      <border>
        <left style="thin">
          <color auto="1"/>
        </left>
        <right style="thin">
          <color auto="1"/>
        </right>
        <top style="thin">
          <color auto="1"/>
        </top>
        <bottom style="thin">
          <color auto="1"/>
        </bottom>
        <vertical/>
        <horizontal/>
      </border>
    </dxf>
    <dxf>
      <font>
        <color theme="1"/>
      </font>
      <fill>
        <patternFill>
          <bgColor theme="0" tint="-4.9989318521683403E-2"/>
        </patternFill>
      </fill>
      <border>
        <left style="thin">
          <color auto="1"/>
        </left>
        <right style="thin">
          <color auto="1"/>
        </right>
        <top style="thin">
          <color auto="1"/>
        </top>
        <bottom style="thin">
          <color auto="1"/>
        </bottom>
        <vertical/>
        <horizontal/>
      </border>
    </dxf>
    <dxf>
      <font>
        <color auto="1"/>
        <name val="Arial"/>
      </font>
      <fill>
        <patternFill>
          <fgColor rgb="FFFFC000"/>
          <bgColor rgb="FFFFC000"/>
        </patternFill>
      </fill>
      <border>
        <left style="thin">
          <color auto="1"/>
        </left>
        <right style="thin">
          <color auto="1"/>
        </right>
        <top style="thin">
          <color auto="1"/>
        </top>
        <bottom style="thin">
          <color auto="1"/>
        </bottom>
      </border>
    </dxf>
    <dxf>
      <font>
        <color auto="1"/>
      </font>
      <fill>
        <patternFill>
          <bgColor theme="6"/>
        </patternFill>
      </fill>
    </dxf>
    <dxf>
      <font>
        <color theme="0"/>
        <name val="Arial"/>
      </font>
      <fill>
        <patternFill>
          <bgColor rgb="FFFF0000"/>
        </patternFill>
      </fill>
    </dxf>
    <dxf>
      <font>
        <color theme="0"/>
        <name val="Arial"/>
      </font>
      <fill>
        <patternFill>
          <fgColor rgb="FFFF0000"/>
          <bgColor rgb="FFFF0000"/>
        </patternFill>
      </fill>
    </dxf>
    <dxf>
      <font>
        <color theme="0"/>
        <name val="Arial"/>
      </font>
      <fill>
        <patternFill>
          <bgColor rgb="FFFF0000"/>
        </patternFill>
      </fill>
    </dxf>
    <dxf>
      <font>
        <color auto="1"/>
      </font>
      <fill>
        <patternFill>
          <bgColor theme="6"/>
        </patternFill>
      </fill>
    </dxf>
    <dxf>
      <font>
        <b/>
        <i val="0"/>
        <strike val="0"/>
        <color auto="1"/>
      </font>
      <numFmt numFmtId="0" formatCode="General"/>
      <fill>
        <patternFill>
          <bgColor rgb="FFFFFF6D"/>
        </patternFill>
      </fill>
      <border>
        <left style="thin">
          <color auto="1"/>
        </left>
        <right style="thin">
          <color auto="1"/>
        </right>
        <top style="thin">
          <color auto="1"/>
        </top>
        <bottom style="thin">
          <color auto="1"/>
        </bottom>
      </border>
    </dxf>
    <dxf>
      <font>
        <b/>
        <i val="0"/>
        <color theme="1"/>
      </font>
      <fill>
        <patternFill>
          <bgColor rgb="FFFFFF6D"/>
        </patternFill>
      </fill>
      <border>
        <left style="thin">
          <color auto="1"/>
        </left>
        <right style="thin">
          <color auto="1"/>
        </right>
        <top style="thin">
          <color auto="1"/>
        </top>
        <bottom style="thin">
          <color auto="1"/>
        </bottom>
        <vertical/>
        <horizontal/>
      </border>
    </dxf>
    <dxf>
      <font>
        <b/>
        <i val="0"/>
        <strike val="0"/>
        <color auto="1"/>
      </font>
      <numFmt numFmtId="176" formatCode="0.0000&quot; m&quot;"/>
      <fill>
        <patternFill>
          <bgColor rgb="FFFFFF6D"/>
        </patternFill>
      </fill>
      <border>
        <left style="thin">
          <color auto="1"/>
        </left>
        <right style="thin">
          <color auto="1"/>
        </right>
        <top style="thin">
          <color auto="1"/>
        </top>
        <bottom style="thin">
          <color auto="1"/>
        </bottom>
      </border>
    </dxf>
    <dxf>
      <font>
        <b/>
        <i val="0"/>
      </font>
      <fill>
        <patternFill>
          <fgColor theme="6"/>
          <bgColor theme="6"/>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ill>
        <patternFill>
          <bgColor theme="0" tint="-4.9989318521683403E-2"/>
        </patternFill>
      </fill>
      <border>
        <left style="thin">
          <color auto="1"/>
        </left>
        <right style="thin">
          <color auto="1"/>
        </right>
        <top style="thin">
          <color auto="1"/>
        </top>
        <bottom style="thin">
          <color auto="1"/>
        </bottom>
        <vertical/>
        <horizontal/>
      </border>
    </dxf>
    <dxf>
      <font>
        <color rgb="FFFFFFFF"/>
        <name val="Arial"/>
      </font>
      <fill>
        <patternFill>
          <bgColor rgb="FFFFFFFF"/>
        </patternFill>
      </fill>
    </dxf>
    <dxf>
      <numFmt numFmtId="19" formatCode="dd/mm/yyyy"/>
      <fill>
        <patternFill>
          <bgColor rgb="FFFF0000"/>
        </patternFill>
      </fill>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auto="1"/>
        </left>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AED581"/>
      <rgbColor rgb="FF0000EE"/>
      <rgbColor rgb="FFFFFF00"/>
      <rgbColor rgb="FFE327FF"/>
      <rgbColor rgb="FF00BDFF"/>
      <rgbColor rgb="FFCC0000"/>
      <rgbColor rgb="FF006600"/>
      <rgbColor rgb="FFFFCCCC"/>
      <rgbColor rgb="FF77BC65"/>
      <rgbColor rgb="FF800074"/>
      <rgbColor rgb="FF66BB6A"/>
      <rgbColor rgb="FFC0C0C0"/>
      <rgbColor rgb="FF999999"/>
      <rgbColor rgb="FF729FCF"/>
      <rgbColor rgb="FFE53935"/>
      <rgbColor rgb="FFFAFAFA"/>
      <rgbColor rgb="FFEEEEEE"/>
      <rgbColor rgb="FFF9CFB5"/>
      <rgbColor rgb="FFF17171"/>
      <rgbColor rgb="FFB2B2B2"/>
      <rgbColor rgb="FFE1BEE7"/>
      <rgbColor rgb="FFFFDBB6"/>
      <rgbColor rgb="FFDC85E9"/>
      <rgbColor rgb="FFFFFF6D"/>
      <rgbColor rgb="FF92E285"/>
      <rgbColor rgb="FFFFBB59"/>
      <rgbColor rgb="FFFFD74C"/>
      <rgbColor rgb="FF81C784"/>
      <rgbColor rgb="FFF2CBF8"/>
      <rgbColor rgb="FF00BFFF"/>
      <rgbColor rgb="FFE0E0E0"/>
      <rgbColor rgb="FFCCFFCC"/>
      <rgbColor rgb="FFFFF59D"/>
      <rgbColor rgb="FF90CAF9"/>
      <rgbColor rgb="FFFF9696"/>
      <rgbColor rgb="FFCE93D8"/>
      <rgbColor rgb="FFFFCC80"/>
      <rgbColor rgb="FF9E9E9E"/>
      <rgbColor rgb="FF63BBEE"/>
      <rgbColor rgb="FF81D41A"/>
      <rgbColor rgb="FFFFD320"/>
      <rgbColor rgb="FFFF9600"/>
      <rgbColor rgb="FFFC5C00"/>
      <rgbColor rgb="FF5983B0"/>
      <rgbColor rgb="FF969696"/>
      <rgbColor rgb="FF004586"/>
      <rgbColor rgb="FF4FAE1D"/>
      <rgbColor rgb="FFDDDDDD"/>
      <rgbColor rgb="FFC8C7C8"/>
      <rgbColor rgb="FFC9211E"/>
      <rgbColor rgb="FFF84711"/>
      <rgbColor rgb="FFB3B3B3"/>
      <rgbColor rgb="FFFFAB91"/>
      <rgbColor rgb="00003366"/>
      <rgbColor rgb="00339966"/>
      <rgbColor rgb="00003300"/>
      <rgbColor rgb="00333300"/>
      <rgbColor rgb="00993300"/>
      <rgbColor rgb="00993366"/>
      <rgbColor rgb="00333399"/>
      <rgbColor rgb="00333333"/>
    </indexedColors>
    <mruColors>
      <color rgb="FFFFFF6D"/>
      <color rgb="FFFFFFC7"/>
      <color rgb="FFFFFF99"/>
      <color rgb="FFFC4514"/>
      <color rgb="FFC7E16A"/>
      <color rgb="FFE5EA6B"/>
      <color rgb="FF8F0100"/>
      <color rgb="FFF77E2C"/>
      <color rgb="FFEDC04F"/>
      <color rgb="FF9BCF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786698122607716"/>
          <c:y val="4.9662970798386469E-2"/>
          <c:w val="0.76054743603550468"/>
          <c:h val="0.82299254739942262"/>
        </c:manualLayout>
      </c:layout>
      <c:scatterChart>
        <c:scatterStyle val="lineMarker"/>
        <c:varyColors val="0"/>
        <c:ser>
          <c:idx val="0"/>
          <c:order val="0"/>
          <c:tx>
            <c:v>Obere Grenze Prognose</c:v>
          </c:tx>
          <c:spPr>
            <a:ln w="25400" cap="rnd">
              <a:noFill/>
              <a:round/>
            </a:ln>
            <a:effectLst/>
          </c:spPr>
          <c:marker>
            <c:symbol val="none"/>
          </c:marker>
          <c:trendline>
            <c:spPr>
              <a:ln w="19050" cap="rnd">
                <a:solidFill>
                  <a:srgbClr val="00B050"/>
                </a:solidFill>
                <a:prstDash val="dash"/>
              </a:ln>
              <a:effectLst/>
            </c:spPr>
            <c:trendlineType val="exp"/>
            <c:dispRSqr val="0"/>
            <c:dispEq val="0"/>
          </c:trendline>
          <c:xVal>
            <c:numRef>
              <c:f>'Ausgabe Standortbewertung'!$K$82:$K$93</c:f>
              <c:numCache>
                <c:formatCode>General</c:formatCode>
                <c:ptCount val="12"/>
                <c:pt idx="0">
                  <c:v>0</c:v>
                </c:pt>
                <c:pt idx="1">
                  <c:v>100</c:v>
                </c:pt>
                <c:pt idx="2">
                  <c:v>500</c:v>
                </c:pt>
                <c:pt idx="3">
                  <c:v>750</c:v>
                </c:pt>
                <c:pt idx="4">
                  <c:v>1000</c:v>
                </c:pt>
                <c:pt idx="5">
                  <c:v>1500</c:v>
                </c:pt>
                <c:pt idx="6">
                  <c:v>2000</c:v>
                </c:pt>
                <c:pt idx="9">
                  <c:v>5000</c:v>
                </c:pt>
                <c:pt idx="10">
                  <c:v>10000</c:v>
                </c:pt>
                <c:pt idx="11">
                  <c:v>30000</c:v>
                </c:pt>
              </c:numCache>
            </c:numRef>
          </c:xVal>
          <c:yVal>
            <c:numRef>
              <c:f>'Ausgabe Standortbewertung'!$L$82:$L$93</c:f>
              <c:numCache>
                <c:formatCode>General</c:formatCode>
                <c:ptCount val="12"/>
                <c:pt idx="0">
                  <c:v>100</c:v>
                </c:pt>
                <c:pt idx="1">
                  <c:v>99.580306560260738</c:v>
                </c:pt>
                <c:pt idx="2">
                  <c:v>97.91907328875385</c:v>
                </c:pt>
                <c:pt idx="3">
                  <c:v>96.894905155563166</c:v>
                </c:pt>
                <c:pt idx="4">
                  <c:v>95.881449137283454</c:v>
                </c:pt>
                <c:pt idx="5">
                  <c:v>93.886226451055833</c:v>
                </c:pt>
                <c:pt idx="6">
                  <c:v>91.932522886654752</c:v>
                </c:pt>
                <c:pt idx="9">
                  <c:v>81.035057823397509</c:v>
                </c:pt>
                <c:pt idx="10">
                  <c:v>65.666805964413783</c:v>
                </c:pt>
                <c:pt idx="11">
                  <c:v>28.316376496887468</c:v>
                </c:pt>
              </c:numCache>
            </c:numRef>
          </c:yVal>
          <c:smooth val="0"/>
          <c:extLst>
            <c:ext xmlns:c16="http://schemas.microsoft.com/office/drawing/2014/chart" uri="{C3380CC4-5D6E-409C-BE32-E72D297353CC}">
              <c16:uniqueId val="{00000000-E292-4F18-9BD3-0B9E13C03B19}"/>
            </c:ext>
          </c:extLst>
        </c:ser>
        <c:ser>
          <c:idx val="1"/>
          <c:order val="1"/>
          <c:tx>
            <c:v>Prognosekurve</c:v>
          </c:tx>
          <c:spPr>
            <a:ln w="25400" cap="rnd">
              <a:noFill/>
              <a:round/>
            </a:ln>
            <a:effectLst/>
          </c:spPr>
          <c:marker>
            <c:symbol val="none"/>
          </c:marker>
          <c:trendline>
            <c:spPr>
              <a:ln w="19050" cap="rnd">
                <a:solidFill>
                  <a:srgbClr val="B48900"/>
                </a:solidFill>
                <a:prstDash val="dash"/>
              </a:ln>
              <a:effectLst/>
            </c:spPr>
            <c:trendlineType val="exp"/>
            <c:dispRSqr val="0"/>
            <c:dispEq val="0"/>
          </c:trendline>
          <c:xVal>
            <c:numRef>
              <c:f>'Ausgabe Standortbewertung'!$K$82:$K$93</c:f>
              <c:numCache>
                <c:formatCode>General</c:formatCode>
                <c:ptCount val="12"/>
                <c:pt idx="0">
                  <c:v>0</c:v>
                </c:pt>
                <c:pt idx="1">
                  <c:v>100</c:v>
                </c:pt>
                <c:pt idx="2">
                  <c:v>500</c:v>
                </c:pt>
                <c:pt idx="3">
                  <c:v>750</c:v>
                </c:pt>
                <c:pt idx="4">
                  <c:v>1000</c:v>
                </c:pt>
                <c:pt idx="5">
                  <c:v>1500</c:v>
                </c:pt>
                <c:pt idx="6">
                  <c:v>2000</c:v>
                </c:pt>
                <c:pt idx="9">
                  <c:v>5000</c:v>
                </c:pt>
                <c:pt idx="10">
                  <c:v>10000</c:v>
                </c:pt>
                <c:pt idx="11">
                  <c:v>30000</c:v>
                </c:pt>
              </c:numCache>
            </c:numRef>
          </c:xVal>
          <c:yVal>
            <c:numRef>
              <c:f>'Ausgabe Standortbewertung'!$M$82:$M$93</c:f>
              <c:numCache>
                <c:formatCode>General</c:formatCode>
                <c:ptCount val="12"/>
                <c:pt idx="0">
                  <c:v>100</c:v>
                </c:pt>
                <c:pt idx="1">
                  <c:v>98.780507297700453</c:v>
                </c:pt>
                <c:pt idx="2">
                  <c:v>94.049450181132229</c:v>
                </c:pt>
                <c:pt idx="3">
                  <c:v>91.208306370786829</c:v>
                </c:pt>
                <c:pt idx="4">
                  <c:v>88.452990793732738</c:v>
                </c:pt>
                <c:pt idx="5">
                  <c:v>83.189551510273134</c:v>
                </c:pt>
                <c:pt idx="6">
                  <c:v>78.239315803561666</c:v>
                </c:pt>
                <c:pt idx="9">
                  <c:v>54.145530085032114</c:v>
                </c:pt>
                <c:pt idx="10">
                  <c:v>29.317384281891172</c:v>
                </c:pt>
                <c:pt idx="11">
                  <c:v>2.5198556266281305</c:v>
                </c:pt>
              </c:numCache>
            </c:numRef>
          </c:yVal>
          <c:smooth val="0"/>
          <c:extLst>
            <c:ext xmlns:c16="http://schemas.microsoft.com/office/drawing/2014/chart" uri="{C3380CC4-5D6E-409C-BE32-E72D297353CC}">
              <c16:uniqueId val="{00000002-E292-4F18-9BD3-0B9E13C03B19}"/>
            </c:ext>
          </c:extLst>
        </c:ser>
        <c:ser>
          <c:idx val="2"/>
          <c:order val="2"/>
          <c:tx>
            <c:v>Untere Grenze Prognose</c:v>
          </c:tx>
          <c:spPr>
            <a:ln w="25400" cap="rnd">
              <a:noFill/>
              <a:round/>
            </a:ln>
            <a:effectLst/>
          </c:spPr>
          <c:marker>
            <c:symbol val="none"/>
          </c:marker>
          <c:trendline>
            <c:spPr>
              <a:ln w="19050" cap="rnd">
                <a:solidFill>
                  <a:srgbClr val="FF0000"/>
                </a:solidFill>
                <a:prstDash val="dash"/>
              </a:ln>
              <a:effectLst/>
            </c:spPr>
            <c:trendlineType val="exp"/>
            <c:dispRSqr val="0"/>
            <c:dispEq val="0"/>
          </c:trendline>
          <c:xVal>
            <c:numRef>
              <c:f>'Ausgabe Standortbewertung'!$K$82:$K$93</c:f>
              <c:numCache>
                <c:formatCode>General</c:formatCode>
                <c:ptCount val="12"/>
                <c:pt idx="0">
                  <c:v>0</c:v>
                </c:pt>
                <c:pt idx="1">
                  <c:v>100</c:v>
                </c:pt>
                <c:pt idx="2">
                  <c:v>500</c:v>
                </c:pt>
                <c:pt idx="3">
                  <c:v>750</c:v>
                </c:pt>
                <c:pt idx="4">
                  <c:v>1000</c:v>
                </c:pt>
                <c:pt idx="5">
                  <c:v>1500</c:v>
                </c:pt>
                <c:pt idx="6">
                  <c:v>2000</c:v>
                </c:pt>
                <c:pt idx="9">
                  <c:v>5000</c:v>
                </c:pt>
                <c:pt idx="10">
                  <c:v>10000</c:v>
                </c:pt>
                <c:pt idx="11">
                  <c:v>30000</c:v>
                </c:pt>
              </c:numCache>
            </c:numRef>
          </c:xVal>
          <c:yVal>
            <c:numRef>
              <c:f>'Ausgabe Standortbewertung'!$N$82:$N$93</c:f>
              <c:numCache>
                <c:formatCode>General</c:formatCode>
                <c:ptCount val="12"/>
                <c:pt idx="0">
                  <c:v>100</c:v>
                </c:pt>
                <c:pt idx="1">
                  <c:v>98.054934215554397</c:v>
                </c:pt>
                <c:pt idx="2">
                  <c:v>90.645711725781879</c:v>
                </c:pt>
                <c:pt idx="3">
                  <c:v>86.302006867902648</c:v>
                </c:pt>
                <c:pt idx="4">
                  <c:v>82.16645054273549</c:v>
                </c:pt>
                <c:pt idx="5">
                  <c:v>74.480363894275143</c:v>
                </c:pt>
                <c:pt idx="6">
                  <c:v>67.513255947917983</c:v>
                </c:pt>
                <c:pt idx="9">
                  <c:v>37.451794593915501</c:v>
                </c:pt>
                <c:pt idx="10">
                  <c:v>14.026369183048381</c:v>
                </c:pt>
                <c:pt idx="11">
                  <c:v>0.27595343019880497</c:v>
                </c:pt>
              </c:numCache>
            </c:numRef>
          </c:yVal>
          <c:smooth val="0"/>
          <c:extLst>
            <c:ext xmlns:c16="http://schemas.microsoft.com/office/drawing/2014/chart" uri="{C3380CC4-5D6E-409C-BE32-E72D297353CC}">
              <c16:uniqueId val="{00000003-E292-4F18-9BD3-0B9E13C03B19}"/>
            </c:ext>
          </c:extLst>
        </c:ser>
        <c:dLbls>
          <c:showLegendKey val="0"/>
          <c:showVal val="0"/>
          <c:showCatName val="0"/>
          <c:showSerName val="0"/>
          <c:showPercent val="0"/>
          <c:showBubbleSize val="0"/>
        </c:dLbls>
        <c:axId val="495921888"/>
        <c:axId val="495923136"/>
      </c:scatterChart>
      <c:valAx>
        <c:axId val="495921888"/>
        <c:scaling>
          <c:orientation val="minMax"/>
          <c:max val="8760"/>
          <c:min val="0"/>
        </c:scaling>
        <c:delete val="0"/>
        <c:axPos val="b"/>
        <c:majorGridlines>
          <c:spPr>
            <a:ln w="9525" cap="flat" cmpd="sng" algn="ctr">
              <a:solidFill>
                <a:schemeClr val="tx1">
                  <a:lumMod val="50000"/>
                  <a:lumOff val="50000"/>
                </a:schemeClr>
              </a:solidFill>
              <a:round/>
            </a:ln>
            <a:effectLst/>
          </c:spPr>
        </c:majorGridlines>
        <c:minorGridlines>
          <c:spPr>
            <a:ln w="9525" cap="flat" cmpd="sng" algn="ctr">
              <a:solidFill>
                <a:schemeClr val="bg1">
                  <a:lumMod val="75000"/>
                </a:schemeClr>
              </a:solidFill>
              <a:round/>
            </a:ln>
            <a:effectLst/>
          </c:spPr>
        </c:minorGridlines>
        <c:title>
          <c:tx>
            <c:rich>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Betriebszeit in h</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495923136"/>
        <c:crosses val="autoZero"/>
        <c:crossBetween val="midCat"/>
        <c:majorUnit val="2500"/>
      </c:valAx>
      <c:valAx>
        <c:axId val="495923136"/>
        <c:scaling>
          <c:orientation val="minMax"/>
          <c:max val="100"/>
        </c:scaling>
        <c:delete val="0"/>
        <c:axPos val="l"/>
        <c:majorGridlines>
          <c:spPr>
            <a:ln w="9525" cap="flat" cmpd="sng" algn="ctr">
              <a:solidFill>
                <a:schemeClr val="tx1">
                  <a:lumMod val="50000"/>
                  <a:lumOff val="50000"/>
                </a:schemeClr>
              </a:solidFill>
              <a:round/>
            </a:ln>
            <a:effectLst/>
          </c:spPr>
        </c:majorGridlines>
        <c:minorGridlines>
          <c:spPr>
            <a:ln w="9525" cap="flat" cmpd="sng" algn="ctr">
              <a:solidFill>
                <a:schemeClr val="bg1">
                  <a:lumMod val="75000"/>
                </a:schemeClr>
              </a:solidFill>
              <a:round/>
            </a:ln>
            <a:effectLst/>
          </c:spPr>
        </c:min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Mögliche Heiz-/Kühlleistung</a:t>
                </a:r>
                <a:r>
                  <a:rPr lang="de-DE" baseline="0"/>
                  <a:t> Wärmeübertrager in %</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495921888"/>
        <c:crosses val="autoZero"/>
        <c:crossBetween val="midCat"/>
        <c:majorUnit val="20"/>
        <c:minorUnit val="10"/>
      </c:valAx>
      <c:spPr>
        <a:noFill/>
        <a:ln>
          <a:solidFill>
            <a:sysClr val="windowText" lastClr="000000"/>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20645277433842"/>
          <c:y val="5.1304481631930555E-2"/>
          <c:w val="0.68282843447801034"/>
          <c:h val="0.74159654992969049"/>
        </c:manualLayout>
      </c:layout>
      <c:scatterChart>
        <c:scatterStyle val="lineMarker"/>
        <c:varyColors val="0"/>
        <c:ser>
          <c:idx val="0"/>
          <c:order val="0"/>
          <c:tx>
            <c:strRef>
              <c:f>'Ausgabe Standortbewertung'!$T$23</c:f>
              <c:strCache>
                <c:ptCount val="1"/>
                <c:pt idx="0">
                  <c:v>Eisen</c:v>
                </c:pt>
              </c:strCache>
            </c:strRef>
          </c:tx>
          <c:spPr>
            <a:ln w="25400" cap="rnd">
              <a:noFill/>
              <a:round/>
            </a:ln>
            <a:effectLst/>
          </c:spPr>
          <c:marker>
            <c:symbol val="circle"/>
            <c:size val="5"/>
            <c:spPr>
              <a:solidFill>
                <a:schemeClr val="accent1"/>
              </a:solidFill>
              <a:ln w="9525">
                <a:solidFill>
                  <a:schemeClr val="accent1"/>
                </a:solidFill>
              </a:ln>
              <a:effectLst/>
            </c:spPr>
          </c:marker>
          <c:xVal>
            <c:numRef>
              <c:f>'Ausgabe Standortbewertung'!$T$25</c:f>
              <c:numCache>
                <c:formatCode>General</c:formatCode>
                <c:ptCount val="1"/>
                <c:pt idx="0">
                  <c:v>7200</c:v>
                </c:pt>
              </c:numCache>
            </c:numRef>
          </c:xVal>
          <c:yVal>
            <c:numRef>
              <c:f>'Ausgabe Standortbewertung'!$T$24</c:f>
              <c:numCache>
                <c:formatCode>General</c:formatCode>
                <c:ptCount val="1"/>
                <c:pt idx="0">
                  <c:v>3.45</c:v>
                </c:pt>
              </c:numCache>
            </c:numRef>
          </c:yVal>
          <c:smooth val="0"/>
          <c:extLst>
            <c:ext xmlns:c16="http://schemas.microsoft.com/office/drawing/2014/chart" uri="{C3380CC4-5D6E-409C-BE32-E72D297353CC}">
              <c16:uniqueId val="{00000002-8F8E-49BF-8B4A-3C028824E14D}"/>
            </c:ext>
          </c:extLst>
        </c:ser>
        <c:ser>
          <c:idx val="1"/>
          <c:order val="1"/>
          <c:tx>
            <c:strRef>
              <c:f>'Ausgabe Standortbewertung'!$U$23</c:f>
              <c:strCache>
                <c:ptCount val="1"/>
                <c:pt idx="0">
                  <c:v>Arsen</c:v>
                </c:pt>
              </c:strCache>
            </c:strRef>
          </c:tx>
          <c:spPr>
            <a:ln w="25400" cap="rnd">
              <a:noFill/>
              <a:round/>
            </a:ln>
            <a:effectLst/>
          </c:spPr>
          <c:marker>
            <c:symbol val="circle"/>
            <c:size val="5"/>
            <c:spPr>
              <a:solidFill>
                <a:schemeClr val="accent2"/>
              </a:solidFill>
              <a:ln w="9525">
                <a:solidFill>
                  <a:schemeClr val="accent2"/>
                </a:solidFill>
              </a:ln>
              <a:effectLst/>
            </c:spPr>
          </c:marker>
          <c:xVal>
            <c:numRef>
              <c:f>'Ausgabe Standortbewertung'!$U$25</c:f>
              <c:numCache>
                <c:formatCode>General</c:formatCode>
                <c:ptCount val="1"/>
                <c:pt idx="0">
                  <c:v>7200</c:v>
                </c:pt>
              </c:numCache>
            </c:numRef>
          </c:xVal>
          <c:yVal>
            <c:numRef>
              <c:f>'Ausgabe Standortbewertung'!$U$24</c:f>
              <c:numCache>
                <c:formatCode>General</c:formatCode>
                <c:ptCount val="1"/>
                <c:pt idx="0">
                  <c:v>1.2</c:v>
                </c:pt>
              </c:numCache>
            </c:numRef>
          </c:yVal>
          <c:smooth val="0"/>
          <c:extLst>
            <c:ext xmlns:c16="http://schemas.microsoft.com/office/drawing/2014/chart" uri="{C3380CC4-5D6E-409C-BE32-E72D297353CC}">
              <c16:uniqueId val="{00000003-8F8E-49BF-8B4A-3C028824E14D}"/>
            </c:ext>
          </c:extLst>
        </c:ser>
        <c:ser>
          <c:idx val="2"/>
          <c:order val="2"/>
          <c:tx>
            <c:strRef>
              <c:f>'Ausgabe Standortbewertung'!$V$23</c:f>
              <c:strCache>
                <c:ptCount val="1"/>
                <c:pt idx="0">
                  <c:v>Mangan</c:v>
                </c:pt>
              </c:strCache>
            </c:strRef>
          </c:tx>
          <c:spPr>
            <a:ln w="25400" cap="rnd">
              <a:noFill/>
              <a:round/>
            </a:ln>
            <a:effectLst/>
          </c:spPr>
          <c:marker>
            <c:symbol val="circle"/>
            <c:size val="5"/>
            <c:spPr>
              <a:solidFill>
                <a:schemeClr val="accent3"/>
              </a:solidFill>
              <a:ln w="9525">
                <a:solidFill>
                  <a:schemeClr val="accent3"/>
                </a:solidFill>
              </a:ln>
              <a:effectLst/>
            </c:spPr>
          </c:marker>
          <c:xVal>
            <c:numRef>
              <c:f>'Ausgabe Standortbewertung'!$V$25</c:f>
              <c:numCache>
                <c:formatCode>General</c:formatCode>
                <c:ptCount val="1"/>
                <c:pt idx="0">
                  <c:v>7200</c:v>
                </c:pt>
              </c:numCache>
            </c:numRef>
          </c:xVal>
          <c:yVal>
            <c:numRef>
              <c:f>'Ausgabe Standortbewertung'!$V$24</c:f>
              <c:numCache>
                <c:formatCode>General</c:formatCode>
                <c:ptCount val="1"/>
                <c:pt idx="0">
                  <c:v>1.4</c:v>
                </c:pt>
              </c:numCache>
            </c:numRef>
          </c:yVal>
          <c:smooth val="0"/>
          <c:extLst>
            <c:ext xmlns:c16="http://schemas.microsoft.com/office/drawing/2014/chart" uri="{C3380CC4-5D6E-409C-BE32-E72D297353CC}">
              <c16:uniqueId val="{00000004-8F8E-49BF-8B4A-3C028824E14D}"/>
            </c:ext>
          </c:extLst>
        </c:ser>
        <c:ser>
          <c:idx val="3"/>
          <c:order val="3"/>
          <c:tx>
            <c:strRef>
              <c:f>'Ausgabe Standortbewertung'!$W$23</c:f>
              <c:strCache>
                <c:ptCount val="1"/>
                <c:pt idx="0">
                  <c:v>Aluminium</c:v>
                </c:pt>
              </c:strCache>
            </c:strRef>
          </c:tx>
          <c:spPr>
            <a:ln w="25400" cap="rnd">
              <a:noFill/>
              <a:round/>
            </a:ln>
            <a:effectLst/>
          </c:spPr>
          <c:marker>
            <c:symbol val="circle"/>
            <c:size val="5"/>
            <c:spPr>
              <a:solidFill>
                <a:schemeClr val="accent4"/>
              </a:solidFill>
              <a:ln w="9525">
                <a:solidFill>
                  <a:schemeClr val="accent4"/>
                </a:solidFill>
              </a:ln>
              <a:effectLst/>
            </c:spPr>
          </c:marker>
          <c:xVal>
            <c:numRef>
              <c:f>'Ausgabe Standortbewertung'!$W$25</c:f>
              <c:numCache>
                <c:formatCode>General</c:formatCode>
                <c:ptCount val="1"/>
                <c:pt idx="0">
                  <c:v>7200</c:v>
                </c:pt>
              </c:numCache>
            </c:numRef>
          </c:xVal>
          <c:yVal>
            <c:numRef>
              <c:f>'Ausgabe Standortbewertung'!$W$24</c:f>
              <c:numCache>
                <c:formatCode>General</c:formatCode>
                <c:ptCount val="1"/>
                <c:pt idx="0">
                  <c:v>0.1</c:v>
                </c:pt>
              </c:numCache>
            </c:numRef>
          </c:yVal>
          <c:smooth val="0"/>
          <c:extLst>
            <c:ext xmlns:c16="http://schemas.microsoft.com/office/drawing/2014/chart" uri="{C3380CC4-5D6E-409C-BE32-E72D297353CC}">
              <c16:uniqueId val="{00000005-8F8E-49BF-8B4A-3C028824E14D}"/>
            </c:ext>
          </c:extLst>
        </c:ser>
        <c:ser>
          <c:idx val="4"/>
          <c:order val="4"/>
          <c:tx>
            <c:strRef>
              <c:f>'Ausgabe Standortbewertung'!$X$23</c:f>
              <c:strCache>
                <c:ptCount val="1"/>
                <c:pt idx="0">
                  <c:v>Zink</c:v>
                </c:pt>
              </c:strCache>
            </c:strRef>
          </c:tx>
          <c:spPr>
            <a:ln w="25400" cap="rnd">
              <a:noFill/>
              <a:round/>
            </a:ln>
            <a:effectLst/>
          </c:spPr>
          <c:marker>
            <c:symbol val="circle"/>
            <c:size val="5"/>
            <c:spPr>
              <a:solidFill>
                <a:schemeClr val="accent5"/>
              </a:solidFill>
              <a:ln w="9525">
                <a:solidFill>
                  <a:schemeClr val="accent5"/>
                </a:solidFill>
              </a:ln>
              <a:effectLst/>
            </c:spPr>
          </c:marker>
          <c:xVal>
            <c:numRef>
              <c:f>'Ausgabe Standortbewertung'!$X$25</c:f>
              <c:numCache>
                <c:formatCode>General</c:formatCode>
                <c:ptCount val="1"/>
                <c:pt idx="0">
                  <c:v>7200</c:v>
                </c:pt>
              </c:numCache>
            </c:numRef>
          </c:xVal>
          <c:yVal>
            <c:numRef>
              <c:f>'Ausgabe Standortbewertung'!$X$24</c:f>
              <c:numCache>
                <c:formatCode>General</c:formatCode>
                <c:ptCount val="1"/>
                <c:pt idx="0">
                  <c:v>2.5000000000000001E-2</c:v>
                </c:pt>
              </c:numCache>
            </c:numRef>
          </c:yVal>
          <c:smooth val="0"/>
          <c:extLst>
            <c:ext xmlns:c16="http://schemas.microsoft.com/office/drawing/2014/chart" uri="{C3380CC4-5D6E-409C-BE32-E72D297353CC}">
              <c16:uniqueId val="{00000006-8F8E-49BF-8B4A-3C028824E14D}"/>
            </c:ext>
          </c:extLst>
        </c:ser>
        <c:ser>
          <c:idx val="5"/>
          <c:order val="5"/>
          <c:tx>
            <c:strRef>
              <c:f>'Ausgabe Standortbewertung'!$Y$23</c:f>
              <c:strCache>
                <c:ptCount val="1"/>
                <c:pt idx="0">
                  <c:v>TOC</c:v>
                </c:pt>
              </c:strCache>
            </c:strRef>
          </c:tx>
          <c:spPr>
            <a:ln w="25400" cap="rnd">
              <a:noFill/>
              <a:round/>
            </a:ln>
            <a:effectLst/>
          </c:spPr>
          <c:marker>
            <c:symbol val="circle"/>
            <c:size val="5"/>
            <c:spPr>
              <a:solidFill>
                <a:schemeClr val="accent6"/>
              </a:solidFill>
              <a:ln w="9525">
                <a:solidFill>
                  <a:schemeClr val="accent6"/>
                </a:solidFill>
              </a:ln>
              <a:effectLst/>
            </c:spPr>
          </c:marker>
          <c:xVal>
            <c:numRef>
              <c:f>'Ausgabe Standortbewertung'!$Y$25</c:f>
              <c:numCache>
                <c:formatCode>General</c:formatCode>
                <c:ptCount val="1"/>
                <c:pt idx="0">
                  <c:v>7200</c:v>
                </c:pt>
              </c:numCache>
            </c:numRef>
          </c:xVal>
          <c:yVal>
            <c:numRef>
              <c:f>'Ausgabe Standortbewertung'!$Y$24</c:f>
              <c:numCache>
                <c:formatCode>General</c:formatCode>
                <c:ptCount val="1"/>
                <c:pt idx="0">
                  <c:v>0.35714285714285715</c:v>
                </c:pt>
              </c:numCache>
            </c:numRef>
          </c:yVal>
          <c:smooth val="0"/>
          <c:extLst>
            <c:ext xmlns:c16="http://schemas.microsoft.com/office/drawing/2014/chart" uri="{C3380CC4-5D6E-409C-BE32-E72D297353CC}">
              <c16:uniqueId val="{00000007-8F8E-49BF-8B4A-3C028824E14D}"/>
            </c:ext>
          </c:extLst>
        </c:ser>
        <c:ser>
          <c:idx val="6"/>
          <c:order val="6"/>
          <c:tx>
            <c:strRef>
              <c:f>'Ausgabe Standortbewertung'!$Z$23</c:f>
              <c:strCache>
                <c:ptCount val="1"/>
                <c:pt idx="0">
                  <c:v>DOC</c:v>
                </c:pt>
              </c:strCache>
            </c:strRef>
          </c:tx>
          <c:spPr>
            <a:ln w="25400" cap="rnd">
              <a:noFill/>
              <a:round/>
            </a:ln>
            <a:effectLst/>
          </c:spPr>
          <c:marker>
            <c:symbol val="circle"/>
            <c:size val="5"/>
            <c:spPr>
              <a:solidFill>
                <a:schemeClr val="accent1">
                  <a:lumMod val="60000"/>
                </a:schemeClr>
              </a:solidFill>
              <a:ln w="9525">
                <a:solidFill>
                  <a:schemeClr val="accent1">
                    <a:lumMod val="60000"/>
                  </a:schemeClr>
                </a:solidFill>
              </a:ln>
              <a:effectLst/>
            </c:spPr>
          </c:marker>
          <c:xVal>
            <c:numRef>
              <c:f>'Ausgabe Standortbewertung'!$Z$25</c:f>
              <c:numCache>
                <c:formatCode>General</c:formatCode>
                <c:ptCount val="1"/>
                <c:pt idx="0">
                  <c:v>7200</c:v>
                </c:pt>
              </c:numCache>
            </c:numRef>
          </c:xVal>
          <c:yVal>
            <c:numRef>
              <c:f>'Ausgabe Standortbewertung'!$Z$24</c:f>
              <c:numCache>
                <c:formatCode>General</c:formatCode>
                <c:ptCount val="1"/>
                <c:pt idx="0">
                  <c:v>0</c:v>
                </c:pt>
              </c:numCache>
            </c:numRef>
          </c:yVal>
          <c:smooth val="0"/>
          <c:extLst>
            <c:ext xmlns:c16="http://schemas.microsoft.com/office/drawing/2014/chart" uri="{C3380CC4-5D6E-409C-BE32-E72D297353CC}">
              <c16:uniqueId val="{00000008-8F8E-49BF-8B4A-3C028824E14D}"/>
            </c:ext>
          </c:extLst>
        </c:ser>
        <c:ser>
          <c:idx val="7"/>
          <c:order val="7"/>
          <c:tx>
            <c:strRef>
              <c:f>'Ausgabe Standortbewertung'!$AA$23</c:f>
              <c:strCache>
                <c:ptCount val="1"/>
                <c:pt idx="0">
                  <c:v>Sulfat</c:v>
                </c:pt>
              </c:strCache>
            </c:strRef>
          </c:tx>
          <c:spPr>
            <a:ln w="25400" cap="rnd">
              <a:noFill/>
              <a:round/>
            </a:ln>
            <a:effectLst/>
          </c:spPr>
          <c:marker>
            <c:symbol val="circle"/>
            <c:size val="5"/>
            <c:spPr>
              <a:solidFill>
                <a:schemeClr val="accent2">
                  <a:lumMod val="60000"/>
                </a:schemeClr>
              </a:solidFill>
              <a:ln w="9525">
                <a:solidFill>
                  <a:schemeClr val="accent2">
                    <a:lumMod val="60000"/>
                  </a:schemeClr>
                </a:solidFill>
              </a:ln>
              <a:effectLst/>
            </c:spPr>
          </c:marker>
          <c:xVal>
            <c:numRef>
              <c:f>'Ausgabe Standortbewertung'!$AA$25</c:f>
              <c:numCache>
                <c:formatCode>General</c:formatCode>
                <c:ptCount val="1"/>
                <c:pt idx="0">
                  <c:v>7200</c:v>
                </c:pt>
              </c:numCache>
            </c:numRef>
          </c:xVal>
          <c:yVal>
            <c:numRef>
              <c:f>'Ausgabe Standortbewertung'!$AA$24</c:f>
              <c:numCache>
                <c:formatCode>General</c:formatCode>
                <c:ptCount val="1"/>
                <c:pt idx="0">
                  <c:v>2.2400000000000002</c:v>
                </c:pt>
              </c:numCache>
            </c:numRef>
          </c:yVal>
          <c:smooth val="0"/>
          <c:extLst>
            <c:ext xmlns:c16="http://schemas.microsoft.com/office/drawing/2014/chart" uri="{C3380CC4-5D6E-409C-BE32-E72D297353CC}">
              <c16:uniqueId val="{00000009-8F8E-49BF-8B4A-3C028824E14D}"/>
            </c:ext>
          </c:extLst>
        </c:ser>
        <c:ser>
          <c:idx val="8"/>
          <c:order val="8"/>
          <c:tx>
            <c:strRef>
              <c:f>'Ausgabe Standortbewertung'!$AB$23</c:f>
              <c:strCache>
                <c:ptCount val="1"/>
                <c:pt idx="0">
                  <c:v>Nitrat</c:v>
                </c:pt>
              </c:strCache>
            </c:strRef>
          </c:tx>
          <c:spPr>
            <a:ln w="25400" cap="rnd">
              <a:noFill/>
              <a:round/>
            </a:ln>
            <a:effectLst/>
          </c:spPr>
          <c:marker>
            <c:symbol val="circle"/>
            <c:size val="5"/>
            <c:spPr>
              <a:solidFill>
                <a:schemeClr val="accent3">
                  <a:lumMod val="60000"/>
                </a:schemeClr>
              </a:solidFill>
              <a:ln w="9525">
                <a:solidFill>
                  <a:schemeClr val="accent3">
                    <a:lumMod val="60000"/>
                  </a:schemeClr>
                </a:solidFill>
              </a:ln>
              <a:effectLst/>
            </c:spPr>
          </c:marker>
          <c:xVal>
            <c:numRef>
              <c:f>'Ausgabe Standortbewertung'!$AB$25</c:f>
              <c:numCache>
                <c:formatCode>General</c:formatCode>
                <c:ptCount val="1"/>
                <c:pt idx="0">
                  <c:v>7200</c:v>
                </c:pt>
              </c:numCache>
            </c:numRef>
          </c:xVal>
          <c:yVal>
            <c:numRef>
              <c:f>'Ausgabe Standortbewertung'!$AB$24</c:f>
              <c:numCache>
                <c:formatCode>General</c:formatCode>
                <c:ptCount val="1"/>
                <c:pt idx="0">
                  <c:v>0</c:v>
                </c:pt>
              </c:numCache>
            </c:numRef>
          </c:yVal>
          <c:smooth val="0"/>
          <c:extLst>
            <c:ext xmlns:c16="http://schemas.microsoft.com/office/drawing/2014/chart" uri="{C3380CC4-5D6E-409C-BE32-E72D297353CC}">
              <c16:uniqueId val="{0000000A-8F8E-49BF-8B4A-3C028824E14D}"/>
            </c:ext>
          </c:extLst>
        </c:ser>
        <c:ser>
          <c:idx val="9"/>
          <c:order val="9"/>
          <c:tx>
            <c:strRef>
              <c:f>'Ausgabe Standortbewertung'!$AC$23</c:f>
              <c:strCache>
                <c:ptCount val="1"/>
                <c:pt idx="0">
                  <c:v>Phosphat</c:v>
                </c:pt>
              </c:strCache>
            </c:strRef>
          </c:tx>
          <c:spPr>
            <a:ln w="25400" cap="rnd">
              <a:noFill/>
              <a:round/>
            </a:ln>
            <a:effectLst/>
          </c:spPr>
          <c:marker>
            <c:symbol val="circle"/>
            <c:size val="5"/>
            <c:spPr>
              <a:solidFill>
                <a:schemeClr val="accent4">
                  <a:lumMod val="60000"/>
                </a:schemeClr>
              </a:solidFill>
              <a:ln w="9525">
                <a:solidFill>
                  <a:schemeClr val="accent4">
                    <a:lumMod val="60000"/>
                  </a:schemeClr>
                </a:solidFill>
              </a:ln>
              <a:effectLst/>
            </c:spPr>
          </c:marker>
          <c:xVal>
            <c:numRef>
              <c:f>'Ausgabe Standortbewertung'!$AC$25</c:f>
              <c:numCache>
                <c:formatCode>General</c:formatCode>
                <c:ptCount val="1"/>
                <c:pt idx="0">
                  <c:v>7200</c:v>
                </c:pt>
              </c:numCache>
            </c:numRef>
          </c:xVal>
          <c:yVal>
            <c:numRef>
              <c:f>'Ausgabe Standortbewertung'!$AC$24</c:f>
              <c:numCache>
                <c:formatCode>General</c:formatCode>
                <c:ptCount val="1"/>
                <c:pt idx="0">
                  <c:v>0</c:v>
                </c:pt>
              </c:numCache>
            </c:numRef>
          </c:yVal>
          <c:smooth val="0"/>
          <c:extLst>
            <c:ext xmlns:c16="http://schemas.microsoft.com/office/drawing/2014/chart" uri="{C3380CC4-5D6E-409C-BE32-E72D297353CC}">
              <c16:uniqueId val="{0000000B-8F8E-49BF-8B4A-3C028824E14D}"/>
            </c:ext>
          </c:extLst>
        </c:ser>
        <c:ser>
          <c:idx val="10"/>
          <c:order val="10"/>
          <c:tx>
            <c:strRef>
              <c:f>'Ausgabe Standortbewertung'!$AD$23</c:f>
              <c:strCache>
                <c:ptCount val="1"/>
                <c:pt idx="0">
                  <c:v>Uran</c:v>
                </c:pt>
              </c:strCache>
            </c:strRef>
          </c:tx>
          <c:spPr>
            <a:ln w="25400" cap="rnd">
              <a:noFill/>
              <a:round/>
            </a:ln>
            <a:effectLst/>
          </c:spPr>
          <c:marker>
            <c:symbol val="circle"/>
            <c:size val="5"/>
            <c:spPr>
              <a:solidFill>
                <a:schemeClr val="accent5">
                  <a:lumMod val="60000"/>
                </a:schemeClr>
              </a:solidFill>
              <a:ln w="9525">
                <a:solidFill>
                  <a:schemeClr val="accent5">
                    <a:lumMod val="60000"/>
                  </a:schemeClr>
                </a:solidFill>
              </a:ln>
              <a:effectLst/>
            </c:spPr>
          </c:marker>
          <c:xVal>
            <c:numRef>
              <c:f>'Ausgabe Standortbewertung'!$AD$25</c:f>
              <c:numCache>
                <c:formatCode>General</c:formatCode>
                <c:ptCount val="1"/>
                <c:pt idx="0">
                  <c:v>7200</c:v>
                </c:pt>
              </c:numCache>
            </c:numRef>
          </c:xVal>
          <c:yVal>
            <c:numRef>
              <c:f>'Ausgabe Standortbewertung'!$AD$24</c:f>
              <c:numCache>
                <c:formatCode>General</c:formatCode>
                <c:ptCount val="1"/>
                <c:pt idx="0">
                  <c:v>0.01</c:v>
                </c:pt>
              </c:numCache>
            </c:numRef>
          </c:yVal>
          <c:smooth val="0"/>
          <c:extLst>
            <c:ext xmlns:c16="http://schemas.microsoft.com/office/drawing/2014/chart" uri="{C3380CC4-5D6E-409C-BE32-E72D297353CC}">
              <c16:uniqueId val="{0000000C-8F8E-49BF-8B4A-3C028824E14D}"/>
            </c:ext>
          </c:extLst>
        </c:ser>
        <c:ser>
          <c:idx val="11"/>
          <c:order val="11"/>
          <c:tx>
            <c:strRef>
              <c:f>'Ausgabe Standortbewertung'!$AE$23</c:f>
              <c:strCache>
                <c:ptCount val="1"/>
                <c:pt idx="0">
                  <c:v>Cadmium</c:v>
                </c:pt>
              </c:strCache>
            </c:strRef>
          </c:tx>
          <c:spPr>
            <a:ln w="25400" cap="rnd">
              <a:noFill/>
              <a:round/>
            </a:ln>
            <a:effectLst/>
          </c:spPr>
          <c:marker>
            <c:symbol val="circle"/>
            <c:size val="5"/>
            <c:spPr>
              <a:solidFill>
                <a:schemeClr val="accent6">
                  <a:lumMod val="60000"/>
                </a:schemeClr>
              </a:solidFill>
              <a:ln w="9525">
                <a:solidFill>
                  <a:schemeClr val="accent6">
                    <a:lumMod val="60000"/>
                  </a:schemeClr>
                </a:solidFill>
              </a:ln>
              <a:effectLst/>
            </c:spPr>
          </c:marker>
          <c:xVal>
            <c:numRef>
              <c:f>'Ausgabe Standortbewertung'!$AE$25</c:f>
              <c:numCache>
                <c:formatCode>General</c:formatCode>
                <c:ptCount val="1"/>
                <c:pt idx="0">
                  <c:v>7200</c:v>
                </c:pt>
              </c:numCache>
            </c:numRef>
          </c:xVal>
          <c:yVal>
            <c:numRef>
              <c:f>'Ausgabe Standortbewertung'!$AE$24</c:f>
              <c:numCache>
                <c:formatCode>General</c:formatCode>
                <c:ptCount val="1"/>
                <c:pt idx="0">
                  <c:v>1</c:v>
                </c:pt>
              </c:numCache>
            </c:numRef>
          </c:yVal>
          <c:smooth val="0"/>
          <c:extLst>
            <c:ext xmlns:c16="http://schemas.microsoft.com/office/drawing/2014/chart" uri="{C3380CC4-5D6E-409C-BE32-E72D297353CC}">
              <c16:uniqueId val="{0000000D-8F8E-49BF-8B4A-3C028824E14D}"/>
            </c:ext>
          </c:extLst>
        </c:ser>
        <c:ser>
          <c:idx val="12"/>
          <c:order val="12"/>
          <c:tx>
            <c:strRef>
              <c:f>'Ausgabe Standortbewertung'!$AF$23</c:f>
              <c:strCache>
                <c:ptCount val="1"/>
                <c:pt idx="0">
                  <c:v>Blei</c:v>
                </c:pt>
              </c:strCache>
            </c:strRef>
          </c:tx>
          <c:spPr>
            <a:ln w="25400" cap="rnd">
              <a:no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numRef>
              <c:f>'Ausgabe Standortbewertung'!$AF$25</c:f>
              <c:numCache>
                <c:formatCode>General</c:formatCode>
                <c:ptCount val="1"/>
                <c:pt idx="0">
                  <c:v>7200</c:v>
                </c:pt>
              </c:numCache>
            </c:numRef>
          </c:xVal>
          <c:yVal>
            <c:numRef>
              <c:f>'Ausgabe Standortbewertung'!$AF$24</c:f>
              <c:numCache>
                <c:formatCode>General</c:formatCode>
                <c:ptCount val="1"/>
                <c:pt idx="0">
                  <c:v>1</c:v>
                </c:pt>
              </c:numCache>
            </c:numRef>
          </c:yVal>
          <c:smooth val="0"/>
          <c:extLst>
            <c:ext xmlns:c16="http://schemas.microsoft.com/office/drawing/2014/chart" uri="{C3380CC4-5D6E-409C-BE32-E72D297353CC}">
              <c16:uniqueId val="{0000000E-8F8E-49BF-8B4A-3C028824E14D}"/>
            </c:ext>
          </c:extLst>
        </c:ser>
        <c:ser>
          <c:idx val="13"/>
          <c:order val="13"/>
          <c:tx>
            <c:strRef>
              <c:f>'Ausgabe Standortbewertung'!$AG$23</c:f>
              <c:strCache>
                <c:ptCount val="1"/>
                <c:pt idx="0">
                  <c:v>PAK</c:v>
                </c:pt>
              </c:strCache>
            </c:strRef>
          </c:tx>
          <c:spPr>
            <a:ln w="25400" cap="rnd">
              <a:no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numRef>
              <c:f>'Ausgabe Standortbewertung'!$AG$25</c:f>
              <c:numCache>
                <c:formatCode>General</c:formatCode>
                <c:ptCount val="1"/>
                <c:pt idx="0">
                  <c:v>7200</c:v>
                </c:pt>
              </c:numCache>
            </c:numRef>
          </c:xVal>
          <c:yVal>
            <c:numRef>
              <c:f>'Ausgabe Standortbewertung'!$AG$24</c:f>
              <c:numCache>
                <c:formatCode>General</c:formatCode>
                <c:ptCount val="1"/>
                <c:pt idx="0">
                  <c:v>0</c:v>
                </c:pt>
              </c:numCache>
            </c:numRef>
          </c:yVal>
          <c:smooth val="0"/>
          <c:extLst>
            <c:ext xmlns:c16="http://schemas.microsoft.com/office/drawing/2014/chart" uri="{C3380CC4-5D6E-409C-BE32-E72D297353CC}">
              <c16:uniqueId val="{0000000F-8F8E-49BF-8B4A-3C028824E14D}"/>
            </c:ext>
          </c:extLst>
        </c:ser>
        <c:ser>
          <c:idx val="14"/>
          <c:order val="14"/>
          <c:tx>
            <c:strRef>
              <c:f>'Ausgabe Standortbewertung'!$AH$23</c:f>
              <c:strCache>
                <c:ptCount val="1"/>
                <c:pt idx="0">
                  <c:v>PCB</c:v>
                </c:pt>
              </c:strCache>
            </c:strRef>
          </c:tx>
          <c:spPr>
            <a:ln w="25400" cap="rnd">
              <a:no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numRef>
              <c:f>'Ausgabe Standortbewertung'!$AH$25</c:f>
              <c:numCache>
                <c:formatCode>General</c:formatCode>
                <c:ptCount val="1"/>
                <c:pt idx="0">
                  <c:v>7200</c:v>
                </c:pt>
              </c:numCache>
            </c:numRef>
          </c:xVal>
          <c:yVal>
            <c:numRef>
              <c:f>'Ausgabe Standortbewertung'!$AH$24</c:f>
              <c:numCache>
                <c:formatCode>General</c:formatCode>
                <c:ptCount val="1"/>
                <c:pt idx="0">
                  <c:v>0</c:v>
                </c:pt>
              </c:numCache>
            </c:numRef>
          </c:yVal>
          <c:smooth val="0"/>
          <c:extLst>
            <c:ext xmlns:c16="http://schemas.microsoft.com/office/drawing/2014/chart" uri="{C3380CC4-5D6E-409C-BE32-E72D297353CC}">
              <c16:uniqueId val="{00000010-8F8E-49BF-8B4A-3C028824E14D}"/>
            </c:ext>
          </c:extLst>
        </c:ser>
        <c:dLbls>
          <c:showLegendKey val="0"/>
          <c:showVal val="0"/>
          <c:showCatName val="0"/>
          <c:showSerName val="0"/>
          <c:showPercent val="0"/>
          <c:showBubbleSize val="0"/>
        </c:dLbls>
        <c:axId val="2100216031"/>
        <c:axId val="2100218111"/>
      </c:scatterChart>
      <c:valAx>
        <c:axId val="2100216031"/>
        <c:scaling>
          <c:logBase val="10"/>
          <c:orientation val="minMax"/>
          <c:max val="100000000"/>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Volumenstrom Grubenwasser in m³/Tag</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0.E+00" sourceLinked="0"/>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2100218111"/>
        <c:crossesAt val="1.0000000000000002E-2"/>
        <c:crossBetween val="midCat"/>
      </c:valAx>
      <c:valAx>
        <c:axId val="2100218111"/>
        <c:scaling>
          <c:logBase val="10"/>
          <c:orientation val="minMax"/>
          <c:max val="100000"/>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Vielfaches von Grenzwert</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2100216031"/>
        <c:crosses val="autoZero"/>
        <c:crossBetween val="midCat"/>
      </c:valAx>
      <c:spPr>
        <a:noFill/>
        <a:ln>
          <a:solidFill>
            <a:sysClr val="windowText" lastClr="000000"/>
          </a:solidFill>
        </a:ln>
        <a:effectLst/>
      </c:spPr>
    </c:plotArea>
    <c:legend>
      <c:legendPos val="r"/>
      <c:layout>
        <c:manualLayout>
          <c:xMode val="edge"/>
          <c:yMode val="edge"/>
          <c:x val="0.87112779945223706"/>
          <c:y val="6.2996665254297882E-2"/>
          <c:w val="0.12887222134851412"/>
          <c:h val="0.8786754445959487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281448112943852"/>
          <c:y val="5.791043241724031E-2"/>
          <c:w val="0.73800528574816071"/>
          <c:h val="0.82637399444358317"/>
        </c:manualLayout>
      </c:layout>
      <c:lineChart>
        <c:grouping val="standard"/>
        <c:varyColors val="0"/>
        <c:ser>
          <c:idx val="0"/>
          <c:order val="0"/>
          <c:spPr>
            <a:ln w="28575" cap="rnd">
              <a:noFill/>
              <a:round/>
            </a:ln>
            <a:effectLst/>
          </c:spPr>
          <c:marker>
            <c:symbol val="diamond"/>
            <c:size val="9"/>
            <c:spPr>
              <a:solidFill>
                <a:schemeClr val="bg1">
                  <a:lumMod val="75000"/>
                </a:schemeClr>
              </a:solidFill>
              <a:ln w="9525">
                <a:solidFill>
                  <a:schemeClr val="tx1"/>
                </a:solidFill>
              </a:ln>
              <a:effectLst/>
            </c:spPr>
          </c:marker>
          <c:dPt>
            <c:idx val="0"/>
            <c:marker>
              <c:symbol val="diamond"/>
              <c:size val="9"/>
              <c:spPr>
                <a:solidFill>
                  <a:srgbClr val="00BFFF"/>
                </a:solidFill>
                <a:ln w="9525">
                  <a:solidFill>
                    <a:schemeClr val="tx1"/>
                  </a:solidFill>
                </a:ln>
                <a:effectLst/>
              </c:spPr>
            </c:marker>
            <c:bubble3D val="0"/>
            <c:extLst>
              <c:ext xmlns:c16="http://schemas.microsoft.com/office/drawing/2014/chart" uri="{C3380CC4-5D6E-409C-BE32-E72D297353CC}">
                <c16:uniqueId val="{00000002-4DDB-4D51-84D0-785D9888346F}"/>
              </c:ext>
            </c:extLst>
          </c:dPt>
          <c:dPt>
            <c:idx val="1"/>
            <c:marker>
              <c:symbol val="diamond"/>
              <c:size val="9"/>
              <c:spPr>
                <a:solidFill>
                  <a:srgbClr val="DC85E9"/>
                </a:solidFill>
                <a:ln w="9525">
                  <a:solidFill>
                    <a:schemeClr val="tx1"/>
                  </a:solidFill>
                </a:ln>
                <a:effectLst/>
              </c:spPr>
            </c:marker>
            <c:bubble3D val="0"/>
            <c:extLst>
              <c:ext xmlns:c16="http://schemas.microsoft.com/office/drawing/2014/chart" uri="{C3380CC4-5D6E-409C-BE32-E72D297353CC}">
                <c16:uniqueId val="{00000003-4DDB-4D51-84D0-785D9888346F}"/>
              </c:ext>
            </c:extLst>
          </c:dPt>
          <c:dPt>
            <c:idx val="2"/>
            <c:marker>
              <c:symbol val="diamond"/>
              <c:size val="9"/>
              <c:spPr>
                <a:solidFill>
                  <a:srgbClr val="81C785"/>
                </a:solidFill>
                <a:ln w="9525">
                  <a:solidFill>
                    <a:schemeClr val="tx1"/>
                  </a:solidFill>
                </a:ln>
                <a:effectLst/>
              </c:spPr>
            </c:marker>
            <c:bubble3D val="0"/>
            <c:extLst>
              <c:ext xmlns:c16="http://schemas.microsoft.com/office/drawing/2014/chart" uri="{C3380CC4-5D6E-409C-BE32-E72D297353CC}">
                <c16:uniqueId val="{00000004-4DDB-4D51-84D0-785D9888346F}"/>
              </c:ext>
            </c:extLst>
          </c:dPt>
          <c:dPt>
            <c:idx val="3"/>
            <c:marker>
              <c:symbol val="diamond"/>
              <c:size val="9"/>
              <c:spPr>
                <a:solidFill>
                  <a:srgbClr val="F17171"/>
                </a:solidFill>
                <a:ln w="9525">
                  <a:solidFill>
                    <a:schemeClr val="tx1"/>
                  </a:solidFill>
                </a:ln>
                <a:effectLst/>
              </c:spPr>
            </c:marker>
            <c:bubble3D val="0"/>
            <c:extLst>
              <c:ext xmlns:c16="http://schemas.microsoft.com/office/drawing/2014/chart" uri="{C3380CC4-5D6E-409C-BE32-E72D297353CC}">
                <c16:uniqueId val="{00000005-4DDB-4D51-84D0-785D9888346F}"/>
              </c:ext>
            </c:extLst>
          </c:dPt>
          <c:dPt>
            <c:idx val="4"/>
            <c:marker>
              <c:symbol val="diamond"/>
              <c:size val="9"/>
              <c:spPr>
                <a:solidFill>
                  <a:srgbClr val="FFBB54"/>
                </a:solidFill>
                <a:ln w="9525">
                  <a:solidFill>
                    <a:schemeClr val="tx1"/>
                  </a:solidFill>
                </a:ln>
                <a:effectLst/>
              </c:spPr>
            </c:marker>
            <c:bubble3D val="0"/>
            <c:extLst>
              <c:ext xmlns:c16="http://schemas.microsoft.com/office/drawing/2014/chart" uri="{C3380CC4-5D6E-409C-BE32-E72D297353CC}">
                <c16:uniqueId val="{00000006-4DDB-4D51-84D0-785D9888346F}"/>
              </c:ext>
            </c:extLst>
          </c:dPt>
          <c:errBars>
            <c:errDir val="y"/>
            <c:errBarType val="both"/>
            <c:errValType val="cust"/>
            <c:noEndCap val="0"/>
            <c:plus>
              <c:numRef>
                <c:f>'Ausgabe Standortbewertung'!$Q$5:$U$5</c:f>
                <c:numCache>
                  <c:formatCode>General</c:formatCode>
                  <c:ptCount val="5"/>
                  <c:pt idx="0">
                    <c:v>9.9999999999999978E-2</c:v>
                  </c:pt>
                  <c:pt idx="1">
                    <c:v>9.806051802449478E-2</c:v>
                  </c:pt>
                  <c:pt idx="2">
                    <c:v>0.33510582010582007</c:v>
                  </c:pt>
                  <c:pt idx="3">
                    <c:v>0.25124999999999997</c:v>
                  </c:pt>
                  <c:pt idx="4">
                    <c:v>7.2930485234363074E-2</c:v>
                  </c:pt>
                </c:numCache>
              </c:numRef>
            </c:plus>
            <c:minus>
              <c:numRef>
                <c:f>'Ausgabe Standortbewertung'!$Q$6:$U$6</c:f>
                <c:numCache>
                  <c:formatCode>General</c:formatCode>
                  <c:ptCount val="5"/>
                  <c:pt idx="0">
                    <c:v>9.9999999999999978E-2</c:v>
                  </c:pt>
                  <c:pt idx="1">
                    <c:v>9.806051802449478E-2</c:v>
                  </c:pt>
                  <c:pt idx="2">
                    <c:v>0.23696239903400557</c:v>
                  </c:pt>
                  <c:pt idx="3">
                    <c:v>0.51117142857142861</c:v>
                  </c:pt>
                  <c:pt idx="4">
                    <c:v>-2.2307610003732381E-2</c:v>
                  </c:pt>
                </c:numCache>
              </c:numRef>
            </c:minus>
            <c:spPr>
              <a:noFill/>
              <a:ln w="9525" cap="flat" cmpd="sng" algn="ctr">
                <a:solidFill>
                  <a:schemeClr val="tx1">
                    <a:lumMod val="65000"/>
                    <a:lumOff val="35000"/>
                  </a:schemeClr>
                </a:solidFill>
                <a:round/>
              </a:ln>
              <a:effectLst/>
            </c:spPr>
          </c:errBars>
          <c:cat>
            <c:strRef>
              <c:f>'Ausgabe Standortbewertung'!$B$19:$F$19</c:f>
              <c:strCache>
                <c:ptCount val="5"/>
                <c:pt idx="0">
                  <c:v>Technisch</c:v>
                </c:pt>
                <c:pt idx="1">
                  <c:v>Chemisch</c:v>
                </c:pt>
                <c:pt idx="2">
                  <c:v>Biologisch</c:v>
                </c:pt>
                <c:pt idx="3">
                  <c:v>Toxisch</c:v>
                </c:pt>
                <c:pt idx="4">
                  <c:v>Wirtschaftlich</c:v>
                </c:pt>
              </c:strCache>
            </c:strRef>
          </c:cat>
          <c:val>
            <c:numRef>
              <c:f>'Ausgabe Standortbewertung'!$B$29:$F$29</c:f>
              <c:numCache>
                <c:formatCode>0.00%</c:formatCode>
                <c:ptCount val="5"/>
                <c:pt idx="0">
                  <c:v>0.50793650793650791</c:v>
                </c:pt>
                <c:pt idx="1">
                  <c:v>0.38090637878484573</c:v>
                </c:pt>
                <c:pt idx="2">
                  <c:v>0.23696239903400557</c:v>
                </c:pt>
                <c:pt idx="3">
                  <c:v>0.74875000000000003</c:v>
                </c:pt>
                <c:pt idx="4">
                  <c:v>0.72605310101266174</c:v>
                </c:pt>
              </c:numCache>
            </c:numRef>
          </c:val>
          <c:smooth val="0"/>
          <c:extLst>
            <c:ext xmlns:c16="http://schemas.microsoft.com/office/drawing/2014/chart" uri="{C3380CC4-5D6E-409C-BE32-E72D297353CC}">
              <c16:uniqueId val="{00000000-4DDB-4D51-84D0-785D9888346F}"/>
            </c:ext>
          </c:extLst>
        </c:ser>
        <c:dLbls>
          <c:showLegendKey val="0"/>
          <c:showVal val="0"/>
          <c:showCatName val="0"/>
          <c:showSerName val="0"/>
          <c:showPercent val="0"/>
          <c:showBubbleSize val="0"/>
        </c:dLbls>
        <c:marker val="1"/>
        <c:smooth val="0"/>
        <c:axId val="1833329648"/>
        <c:axId val="1918359232"/>
      </c:lineChart>
      <c:catAx>
        <c:axId val="1833329648"/>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918359232"/>
        <c:crosses val="autoZero"/>
        <c:auto val="1"/>
        <c:lblAlgn val="ctr"/>
        <c:lblOffset val="100"/>
        <c:noMultiLvlLbl val="0"/>
      </c:catAx>
      <c:valAx>
        <c:axId val="191835923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Standortbewertung</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833329648"/>
        <c:crosses val="autoZero"/>
        <c:crossBetween val="between"/>
        <c:majorUnit val="0.2"/>
      </c:valAx>
      <c:spPr>
        <a:noFill/>
        <a:ln>
          <a:solidFill>
            <a:sysClr val="windowText" lastClr="000000"/>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545830838495603E-2"/>
          <c:y val="0.10520378432395837"/>
          <c:w val="0.83737884206819635"/>
          <c:h val="0.78959243135208323"/>
        </c:manualLayout>
      </c:layout>
      <c:scatterChart>
        <c:scatterStyle val="lineMarker"/>
        <c:varyColors val="0"/>
        <c:ser>
          <c:idx val="0"/>
          <c:order val="0"/>
          <c:tx>
            <c:strRef>
              <c:f>'Ausgabe Standortbewertung'!$E$3:$F$3</c:f>
              <c:strCache>
                <c:ptCount val="1"/>
                <c:pt idx="0">
                  <c:v>Teststandort</c:v>
                </c:pt>
              </c:strCache>
            </c:strRef>
          </c:tx>
          <c:spPr>
            <a:ln w="25400" cap="rnd">
              <a:noFill/>
              <a:round/>
            </a:ln>
            <a:effectLst/>
          </c:spPr>
          <c:marker>
            <c:symbol val="diamond"/>
            <c:size val="9"/>
            <c:spPr>
              <a:solidFill>
                <a:schemeClr val="tx1"/>
              </a:solidFill>
              <a:ln w="9525">
                <a:noFill/>
              </a:ln>
              <a:effectLst/>
            </c:spPr>
          </c:marker>
          <c:dLbls>
            <c:dLbl>
              <c:idx val="0"/>
              <c:layout>
                <c:manualLayout>
                  <c:x val="-1.3087640197481154E-2"/>
                  <c:y val="-7.4239194397571373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8327-4631-8332-4CE48E5DA0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'Ausgabe Standortbewertung'!$W$16</c:f>
              <c:numCache>
                <c:formatCode>0%</c:formatCode>
                <c:ptCount val="1"/>
                <c:pt idx="0">
                  <c:v>0.5401712404050647</c:v>
                </c:pt>
              </c:numCache>
            </c:numRef>
          </c:xVal>
          <c:yVal>
            <c:numRef>
              <c:f>'Ausgabe Standortbewertung'!$V$16</c:f>
              <c:numCache>
                <c:formatCode>General</c:formatCode>
                <c:ptCount val="1"/>
                <c:pt idx="0">
                  <c:v>1</c:v>
                </c:pt>
              </c:numCache>
            </c:numRef>
          </c:yVal>
          <c:smooth val="0"/>
          <c:extLst>
            <c:ext xmlns:c16="http://schemas.microsoft.com/office/drawing/2014/chart" uri="{C3380CC4-5D6E-409C-BE32-E72D297353CC}">
              <c16:uniqueId val="{00000002-8327-4631-8332-4CE48E5DA05A}"/>
            </c:ext>
          </c:extLst>
        </c:ser>
        <c:dLbls>
          <c:showLegendKey val="0"/>
          <c:showVal val="0"/>
          <c:showCatName val="0"/>
          <c:showSerName val="0"/>
          <c:showPercent val="0"/>
          <c:showBubbleSize val="0"/>
        </c:dLbls>
        <c:axId val="53024320"/>
        <c:axId val="53020992"/>
      </c:scatterChart>
      <c:valAx>
        <c:axId val="53024320"/>
        <c:scaling>
          <c:orientation val="maxMin"/>
          <c:max val="1"/>
          <c:min val="0.2"/>
        </c:scaling>
        <c:delete val="1"/>
        <c:axPos val="b"/>
        <c:majorGridlines>
          <c:spPr>
            <a:ln w="9525" cap="flat" cmpd="sng" algn="ctr">
              <a:noFill/>
              <a:round/>
            </a:ln>
            <a:effectLst/>
          </c:spPr>
        </c:majorGridlines>
        <c:numFmt formatCode="0%" sourceLinked="1"/>
        <c:majorTickMark val="out"/>
        <c:minorTickMark val="none"/>
        <c:tickLblPos val="nextTo"/>
        <c:crossAx val="53020992"/>
        <c:crosses val="autoZero"/>
        <c:crossBetween val="midCat"/>
      </c:valAx>
      <c:valAx>
        <c:axId val="53020992"/>
        <c:scaling>
          <c:orientation val="minMax"/>
        </c:scaling>
        <c:delete val="1"/>
        <c:axPos val="r"/>
        <c:majorGridlines>
          <c:spPr>
            <a:ln w="9525" cap="flat" cmpd="sng" algn="ctr">
              <a:noFill/>
              <a:round/>
            </a:ln>
            <a:effectLst/>
          </c:spPr>
        </c:majorGridlines>
        <c:numFmt formatCode="General" sourceLinked="1"/>
        <c:majorTickMark val="out"/>
        <c:minorTickMark val="none"/>
        <c:tickLblPos val="nextTo"/>
        <c:crossAx val="5302432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8830979168857E-2"/>
          <c:y val="0.10476386883893586"/>
          <c:w val="0.86303696653842099"/>
          <c:h val="0.79047226232212831"/>
        </c:manualLayout>
      </c:layout>
      <c:scatterChart>
        <c:scatterStyle val="lineMarker"/>
        <c:varyColors val="0"/>
        <c:ser>
          <c:idx val="0"/>
          <c:order val="0"/>
          <c:tx>
            <c:strRef>
              <c:f>'Ausgabe Standortbewertung'!$E$3:$F$3</c:f>
              <c:strCache>
                <c:ptCount val="2"/>
                <c:pt idx="0">
                  <c:v>Teststandort</c:v>
                </c:pt>
              </c:strCache>
            </c:strRef>
          </c:tx>
          <c:spPr>
            <a:ln w="25400" cap="rnd">
              <a:noFill/>
              <a:round/>
            </a:ln>
            <a:effectLst/>
          </c:spPr>
          <c:marker>
            <c:symbol val="diamond"/>
            <c:size val="9"/>
            <c:spPr>
              <a:solidFill>
                <a:schemeClr val="tx1"/>
              </a:solidFill>
              <a:ln w="9525">
                <a:noFill/>
              </a:ln>
              <a:effectLst/>
            </c:spPr>
          </c:marker>
          <c:dLbls>
            <c:dLbl>
              <c:idx val="0"/>
              <c:layout>
                <c:manualLayout>
                  <c:x val="-4.0742197159802651E-3"/>
                  <c:y val="-7.423916710412258E-2"/>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32901902969157998"/>
                      <c:h val="0.22757515290785893"/>
                    </c:manualLayout>
                  </c15:layout>
                </c:ext>
                <c:ext xmlns:c16="http://schemas.microsoft.com/office/drawing/2014/chart" uri="{C3380CC4-5D6E-409C-BE32-E72D297353CC}">
                  <c16:uniqueId val="{00000003-8327-4631-8332-4CE48E5DA0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'Ausgabe Standortbewertung'!$Z$7</c:f>
              <c:numCache>
                <c:formatCode>0%</c:formatCode>
                <c:ptCount val="1"/>
                <c:pt idx="0">
                  <c:v>0.47893340741331236</c:v>
                </c:pt>
              </c:numCache>
            </c:numRef>
          </c:xVal>
          <c:yVal>
            <c:numRef>
              <c:f>'Ausgabe Standortbewertung'!$V$16</c:f>
              <c:numCache>
                <c:formatCode>General</c:formatCode>
                <c:ptCount val="1"/>
                <c:pt idx="0">
                  <c:v>1</c:v>
                </c:pt>
              </c:numCache>
            </c:numRef>
          </c:yVal>
          <c:smooth val="0"/>
          <c:extLst>
            <c:ext xmlns:c16="http://schemas.microsoft.com/office/drawing/2014/chart" uri="{C3380CC4-5D6E-409C-BE32-E72D297353CC}">
              <c16:uniqueId val="{00000002-8327-4631-8332-4CE48E5DA05A}"/>
            </c:ext>
          </c:extLst>
        </c:ser>
        <c:dLbls>
          <c:showLegendKey val="0"/>
          <c:showVal val="0"/>
          <c:showCatName val="0"/>
          <c:showSerName val="0"/>
          <c:showPercent val="0"/>
          <c:showBubbleSize val="0"/>
        </c:dLbls>
        <c:axId val="53024320"/>
        <c:axId val="53020992"/>
      </c:scatterChart>
      <c:valAx>
        <c:axId val="53024320"/>
        <c:scaling>
          <c:orientation val="maxMin"/>
          <c:max val="0.8"/>
          <c:min val="0.4"/>
        </c:scaling>
        <c:delete val="1"/>
        <c:axPos val="b"/>
        <c:majorGridlines>
          <c:spPr>
            <a:ln w="9525" cap="flat" cmpd="sng" algn="ctr">
              <a:noFill/>
              <a:round/>
            </a:ln>
            <a:effectLst/>
          </c:spPr>
        </c:majorGridlines>
        <c:numFmt formatCode="0%" sourceLinked="1"/>
        <c:majorTickMark val="out"/>
        <c:minorTickMark val="none"/>
        <c:tickLblPos val="nextTo"/>
        <c:crossAx val="53020992"/>
        <c:crosses val="autoZero"/>
        <c:crossBetween val="midCat"/>
        <c:majorUnit val="0.1"/>
      </c:valAx>
      <c:valAx>
        <c:axId val="53020992"/>
        <c:scaling>
          <c:orientation val="minMax"/>
        </c:scaling>
        <c:delete val="1"/>
        <c:axPos val="r"/>
        <c:majorGridlines>
          <c:spPr>
            <a:ln w="9525" cap="flat" cmpd="sng" algn="ctr">
              <a:noFill/>
              <a:round/>
            </a:ln>
            <a:effectLst/>
          </c:spPr>
        </c:majorGridlines>
        <c:numFmt formatCode="General" sourceLinked="1"/>
        <c:majorTickMark val="none"/>
        <c:minorTickMark val="none"/>
        <c:tickLblPos val="nextTo"/>
        <c:crossAx val="5302432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192962038387045"/>
          <c:y val="0.10520399317273052"/>
          <c:w val="0.46879412065859932"/>
          <c:h val="0.78959258980344904"/>
        </c:manualLayout>
      </c:layout>
      <c:scatterChart>
        <c:scatterStyle val="lineMarker"/>
        <c:varyColors val="0"/>
        <c:ser>
          <c:idx val="0"/>
          <c:order val="0"/>
          <c:tx>
            <c:strRef>
              <c:f>'Ausgabe Standortbewertung'!$E$3:$F$3</c:f>
              <c:strCache>
                <c:ptCount val="2"/>
                <c:pt idx="0">
                  <c:v>Teststandort</c:v>
                </c:pt>
              </c:strCache>
            </c:strRef>
          </c:tx>
          <c:spPr>
            <a:ln w="25400" cap="rnd">
              <a:noFill/>
              <a:round/>
            </a:ln>
            <a:effectLst/>
          </c:spPr>
          <c:marker>
            <c:symbol val="diamond"/>
            <c:size val="9"/>
            <c:spPr>
              <a:solidFill>
                <a:schemeClr val="tx1"/>
              </a:solidFill>
              <a:ln w="9525">
                <a:noFill/>
              </a:ln>
              <a:effectLst/>
            </c:spPr>
          </c:marker>
          <c:dLbls>
            <c:dLbl>
              <c:idx val="0"/>
              <c:layout>
                <c:manualLayout>
                  <c:x val="-2.5263989514725263E-2"/>
                  <c:y val="-7.4238928080188921E-2"/>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35016752374071958"/>
                      <c:h val="0.23366929204797604"/>
                    </c:manualLayout>
                  </c15:layout>
                </c:ext>
                <c:ext xmlns:c16="http://schemas.microsoft.com/office/drawing/2014/chart" uri="{C3380CC4-5D6E-409C-BE32-E72D297353CC}">
                  <c16:uniqueId val="{00000003-8327-4631-8332-4CE48E5DA0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'Ausgabe Standortbewertung'!$Y$8</c:f>
            </c:numRef>
          </c:xVal>
          <c:yVal>
            <c:numRef>
              <c:f>'Ausgabe Standortbewertung'!$V$16</c:f>
              <c:numCache>
                <c:formatCode>General</c:formatCode>
                <c:ptCount val="1"/>
                <c:pt idx="0">
                  <c:v>1</c:v>
                </c:pt>
              </c:numCache>
            </c:numRef>
          </c:yVal>
          <c:smooth val="0"/>
          <c:extLst>
            <c:ext xmlns:c16="http://schemas.microsoft.com/office/drawing/2014/chart" uri="{C3380CC4-5D6E-409C-BE32-E72D297353CC}">
              <c16:uniqueId val="{00000002-8327-4631-8332-4CE48E5DA05A}"/>
            </c:ext>
          </c:extLst>
        </c:ser>
        <c:dLbls>
          <c:showLegendKey val="0"/>
          <c:showVal val="0"/>
          <c:showCatName val="0"/>
          <c:showSerName val="0"/>
          <c:showPercent val="0"/>
          <c:showBubbleSize val="0"/>
        </c:dLbls>
        <c:axId val="53024320"/>
        <c:axId val="53020992"/>
      </c:scatterChart>
      <c:valAx>
        <c:axId val="53024320"/>
        <c:scaling>
          <c:orientation val="maxMin"/>
          <c:max val="0.4"/>
          <c:min val="-0.4"/>
        </c:scaling>
        <c:delete val="1"/>
        <c:axPos val="b"/>
        <c:majorGridlines>
          <c:spPr>
            <a:ln w="9525" cap="flat" cmpd="sng" algn="ctr">
              <a:noFill/>
              <a:round/>
            </a:ln>
            <a:effectLst/>
          </c:spPr>
        </c:majorGridlines>
        <c:numFmt formatCode="0%" sourceLinked="1"/>
        <c:majorTickMark val="out"/>
        <c:minorTickMark val="none"/>
        <c:tickLblPos val="nextTo"/>
        <c:crossAx val="53020992"/>
        <c:crosses val="autoZero"/>
        <c:crossBetween val="midCat"/>
        <c:majorUnit val="0.2"/>
      </c:valAx>
      <c:valAx>
        <c:axId val="53020992"/>
        <c:scaling>
          <c:orientation val="minMax"/>
        </c:scaling>
        <c:delete val="1"/>
        <c:axPos val="r"/>
        <c:majorGridlines>
          <c:spPr>
            <a:ln w="9525" cap="flat" cmpd="sng" algn="ctr">
              <a:noFill/>
              <a:round/>
            </a:ln>
            <a:effectLst/>
          </c:spPr>
        </c:majorGridlines>
        <c:numFmt formatCode="General" sourceLinked="1"/>
        <c:majorTickMark val="none"/>
        <c:minorTickMark val="none"/>
        <c:tickLblPos val="nextTo"/>
        <c:crossAx val="5302432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24724728883918"/>
          <c:y val="0.10520372270319263"/>
          <c:w val="0.87826489495082738"/>
          <c:h val="0.78959258980344904"/>
        </c:manualLayout>
      </c:layout>
      <c:scatterChart>
        <c:scatterStyle val="lineMarker"/>
        <c:varyColors val="0"/>
        <c:ser>
          <c:idx val="0"/>
          <c:order val="0"/>
          <c:tx>
            <c:strRef>
              <c:f>'Ausgabe Standortbewertung'!$E$3:$F$3</c:f>
              <c:strCache>
                <c:ptCount val="2"/>
                <c:pt idx="0">
                  <c:v>Teststandort</c:v>
                </c:pt>
              </c:strCache>
            </c:strRef>
          </c:tx>
          <c:spPr>
            <a:ln w="25400" cap="rnd">
              <a:noFill/>
              <a:round/>
            </a:ln>
            <a:effectLst/>
          </c:spPr>
          <c:marker>
            <c:symbol val="diamond"/>
            <c:size val="9"/>
            <c:spPr>
              <a:solidFill>
                <a:schemeClr val="tx1"/>
              </a:solidFill>
              <a:ln w="9525">
                <a:noFill/>
              </a:ln>
              <a:effectLst/>
            </c:spPr>
          </c:marker>
          <c:dLbls>
            <c:dLbl>
              <c:idx val="0"/>
              <c:layout>
                <c:manualLayout>
                  <c:x val="-2.5263989514725263E-2"/>
                  <c:y val="-7.4238928080188921E-2"/>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35016752374071958"/>
                      <c:h val="0.23366929204797604"/>
                    </c:manualLayout>
                  </c15:layout>
                </c:ext>
                <c:ext xmlns:c16="http://schemas.microsoft.com/office/drawing/2014/chart" uri="{C3380CC4-5D6E-409C-BE32-E72D297353CC}">
                  <c16:uniqueId val="{00000003-8327-4631-8332-4CE48E5DA0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'Ausgabe Standortbewertung'!$Y$9</c:f>
              <c:numCache>
                <c:formatCode>0%</c:formatCode>
                <c:ptCount val="1"/>
                <c:pt idx="0">
                  <c:v>1.2</c:v>
                </c:pt>
              </c:numCache>
            </c:numRef>
          </c:xVal>
          <c:yVal>
            <c:numRef>
              <c:f>'Ausgabe Standortbewertung'!$V$16</c:f>
              <c:numCache>
                <c:formatCode>General</c:formatCode>
                <c:ptCount val="1"/>
                <c:pt idx="0">
                  <c:v>1</c:v>
                </c:pt>
              </c:numCache>
            </c:numRef>
          </c:yVal>
          <c:smooth val="0"/>
          <c:extLst>
            <c:ext xmlns:c16="http://schemas.microsoft.com/office/drawing/2014/chart" uri="{C3380CC4-5D6E-409C-BE32-E72D297353CC}">
              <c16:uniqueId val="{00000002-8327-4631-8332-4CE48E5DA05A}"/>
            </c:ext>
          </c:extLst>
        </c:ser>
        <c:dLbls>
          <c:showLegendKey val="0"/>
          <c:showVal val="0"/>
          <c:showCatName val="0"/>
          <c:showSerName val="0"/>
          <c:showPercent val="0"/>
          <c:showBubbleSize val="0"/>
        </c:dLbls>
        <c:axId val="53024320"/>
        <c:axId val="53020992"/>
      </c:scatterChart>
      <c:valAx>
        <c:axId val="53024320"/>
        <c:scaling>
          <c:orientation val="maxMin"/>
          <c:max val="1"/>
          <c:min val="0.8"/>
        </c:scaling>
        <c:delete val="1"/>
        <c:axPos val="b"/>
        <c:majorGridlines>
          <c:spPr>
            <a:ln w="9525" cap="flat" cmpd="sng" algn="ctr">
              <a:noFill/>
              <a:round/>
            </a:ln>
            <a:effectLst/>
          </c:spPr>
        </c:majorGridlines>
        <c:numFmt formatCode="0%" sourceLinked="1"/>
        <c:majorTickMark val="out"/>
        <c:minorTickMark val="none"/>
        <c:tickLblPos val="nextTo"/>
        <c:crossAx val="53020992"/>
        <c:crosses val="autoZero"/>
        <c:crossBetween val="midCat"/>
        <c:majorUnit val="5.000000000000001E-2"/>
      </c:valAx>
      <c:valAx>
        <c:axId val="53020992"/>
        <c:scaling>
          <c:orientation val="minMax"/>
        </c:scaling>
        <c:delete val="1"/>
        <c:axPos val="r"/>
        <c:majorGridlines>
          <c:spPr>
            <a:ln w="9525" cap="flat" cmpd="sng" algn="ctr">
              <a:noFill/>
              <a:round/>
            </a:ln>
            <a:effectLst/>
          </c:spPr>
        </c:majorGridlines>
        <c:numFmt formatCode="General" sourceLinked="1"/>
        <c:majorTickMark val="none"/>
        <c:minorTickMark val="none"/>
        <c:tickLblPos val="nextTo"/>
        <c:crossAx val="5302432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545830838495603E-2"/>
          <c:y val="0.10520378432395837"/>
          <c:w val="0.46111747420018789"/>
          <c:h val="0.78959243135208323"/>
        </c:manualLayout>
      </c:layout>
      <c:scatterChart>
        <c:scatterStyle val="lineMarker"/>
        <c:varyColors val="0"/>
        <c:ser>
          <c:idx val="0"/>
          <c:order val="0"/>
          <c:tx>
            <c:strRef>
              <c:f>'Ausgabe Standortbewertung'!$E$3:$F$3</c:f>
              <c:strCache>
                <c:ptCount val="1"/>
                <c:pt idx="0">
                  <c:v>Teststandort</c:v>
                </c:pt>
              </c:strCache>
            </c:strRef>
          </c:tx>
          <c:spPr>
            <a:ln w="25400" cap="rnd">
              <a:noFill/>
              <a:round/>
            </a:ln>
            <a:effectLst/>
          </c:spPr>
          <c:marker>
            <c:symbol val="diamond"/>
            <c:size val="9"/>
            <c:spPr>
              <a:solidFill>
                <a:schemeClr val="tx1"/>
              </a:solidFill>
              <a:ln w="9525">
                <a:noFill/>
              </a:ln>
              <a:effectLst/>
            </c:spPr>
          </c:marker>
          <c:dLbls>
            <c:dLbl>
              <c:idx val="0"/>
              <c:layout>
                <c:manualLayout>
                  <c:x val="-3.582883992168083E-2"/>
                  <c:y val="-7.4238985738894842E-2"/>
                </c:manualLayout>
              </c:layout>
              <c:dLblPos val="r"/>
              <c:showLegendKey val="0"/>
              <c:showVal val="0"/>
              <c:showCatName val="0"/>
              <c:showSerName val="1"/>
              <c:showPercent val="0"/>
              <c:showBubbleSize val="0"/>
              <c:extLst>
                <c:ext xmlns:c15="http://schemas.microsoft.com/office/drawing/2012/chart" uri="{CE6537A1-D6FC-4f65-9D91-7224C49458BB}">
                  <c15:layout>
                    <c:manualLayout>
                      <c:w val="0.24196508975645389"/>
                      <c:h val="0.23366947353051279"/>
                    </c:manualLayout>
                  </c15:layout>
                </c:ext>
                <c:ext xmlns:c16="http://schemas.microsoft.com/office/drawing/2014/chart" uri="{C3380CC4-5D6E-409C-BE32-E72D297353CC}">
                  <c16:uniqueId val="{00000003-8327-4631-8332-4CE48E5DA05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'Ausgabe Standortbewertung'!$W$16</c:f>
              <c:numCache>
                <c:formatCode>0%</c:formatCode>
                <c:ptCount val="1"/>
                <c:pt idx="0">
                  <c:v>0.5401712404050647</c:v>
                </c:pt>
              </c:numCache>
            </c:numRef>
          </c:xVal>
          <c:yVal>
            <c:numRef>
              <c:f>'Ausgabe Standortbewertung'!$V$16</c:f>
              <c:numCache>
                <c:formatCode>General</c:formatCode>
                <c:ptCount val="1"/>
                <c:pt idx="0">
                  <c:v>1</c:v>
                </c:pt>
              </c:numCache>
            </c:numRef>
          </c:yVal>
          <c:smooth val="0"/>
          <c:extLst>
            <c:ext xmlns:c16="http://schemas.microsoft.com/office/drawing/2014/chart" uri="{C3380CC4-5D6E-409C-BE32-E72D297353CC}">
              <c16:uniqueId val="{00000002-8327-4631-8332-4CE48E5DA05A}"/>
            </c:ext>
          </c:extLst>
        </c:ser>
        <c:dLbls>
          <c:showLegendKey val="0"/>
          <c:showVal val="0"/>
          <c:showCatName val="0"/>
          <c:showSerName val="0"/>
          <c:showPercent val="0"/>
          <c:showBubbleSize val="0"/>
        </c:dLbls>
        <c:axId val="53024320"/>
        <c:axId val="53020992"/>
      </c:scatterChart>
      <c:valAx>
        <c:axId val="53024320"/>
        <c:scaling>
          <c:orientation val="maxMin"/>
          <c:max val="0.2"/>
          <c:min val="-0.4"/>
        </c:scaling>
        <c:delete val="1"/>
        <c:axPos val="b"/>
        <c:majorGridlines>
          <c:spPr>
            <a:ln w="9525" cap="flat" cmpd="sng" algn="ctr">
              <a:noFill/>
              <a:round/>
            </a:ln>
            <a:effectLst/>
          </c:spPr>
        </c:majorGridlines>
        <c:numFmt formatCode="0%" sourceLinked="1"/>
        <c:majorTickMark val="out"/>
        <c:minorTickMark val="none"/>
        <c:tickLblPos val="nextTo"/>
        <c:crossAx val="53020992"/>
        <c:crosses val="autoZero"/>
        <c:crossBetween val="midCat"/>
        <c:majorUnit val="0.2"/>
      </c:valAx>
      <c:valAx>
        <c:axId val="53020992"/>
        <c:scaling>
          <c:orientation val="minMax"/>
        </c:scaling>
        <c:delete val="1"/>
        <c:axPos val="r"/>
        <c:majorGridlines>
          <c:spPr>
            <a:ln w="9525" cap="flat" cmpd="sng" algn="ctr">
              <a:noFill/>
              <a:round/>
            </a:ln>
            <a:effectLst/>
          </c:spPr>
        </c:majorGridlines>
        <c:numFmt formatCode="General" sourceLinked="1"/>
        <c:majorTickMark val="out"/>
        <c:minorTickMark val="none"/>
        <c:tickLblPos val="nextTo"/>
        <c:crossAx val="53024320"/>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168285214348204"/>
          <c:y val="0.20458022612782414"/>
          <c:w val="0.68776159230096234"/>
          <c:h val="0.74874277834708636"/>
        </c:manualLayout>
      </c:layout>
      <c:barChart>
        <c:barDir val="col"/>
        <c:grouping val="stacked"/>
        <c:varyColors val="0"/>
        <c:ser>
          <c:idx val="0"/>
          <c:order val="0"/>
          <c:spPr>
            <a:noFill/>
            <a:ln>
              <a:noFill/>
            </a:ln>
            <a:effectLst/>
          </c:spPr>
          <c:invertIfNegative val="0"/>
          <c:cat>
            <c:strRef>
              <c:f>'Ausgabe Wärmeübertragerdesign'!$K$44:$M$44</c:f>
              <c:strCache>
                <c:ptCount val="3"/>
                <c:pt idx="0">
                  <c:v>ZnO-Nanopartikel</c:v>
                </c:pt>
                <c:pt idx="1">
                  <c:v>Versilbert</c:v>
                </c:pt>
                <c:pt idx="2">
                  <c:v>Ceramic Smooth Hydrophobic-1</c:v>
                </c:pt>
              </c:strCache>
            </c:strRef>
          </c:cat>
          <c:val>
            <c:numRef>
              <c:f>'Ausgabe Wärmeübertragerdesign'!$K$73:$M$73</c:f>
              <c:numCache>
                <c:formatCode>0.00%</c:formatCode>
                <c:ptCount val="3"/>
                <c:pt idx="0">
                  <c:v>-4.9764090994068422E-2</c:v>
                </c:pt>
                <c:pt idx="1">
                  <c:v>-1.3827246089540668E-2</c:v>
                </c:pt>
                <c:pt idx="2">
                  <c:v>-1.9007093317110146E-2</c:v>
                </c:pt>
              </c:numCache>
            </c:numRef>
          </c:val>
          <c:extLst>
            <c:ext xmlns:c16="http://schemas.microsoft.com/office/drawing/2014/chart" uri="{C3380CC4-5D6E-409C-BE32-E72D297353CC}">
              <c16:uniqueId val="{00000000-EA1B-4EF1-9F59-53DFC442AD2F}"/>
            </c:ext>
          </c:extLst>
        </c:ser>
        <c:ser>
          <c:idx val="1"/>
          <c:order val="1"/>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'Ausgabe Wärmeübertragerdesign'!$K$44:$M$44</c:f>
              <c:strCache>
                <c:ptCount val="3"/>
                <c:pt idx="0">
                  <c:v>ZnO-Nanopartikel</c:v>
                </c:pt>
                <c:pt idx="1">
                  <c:v>Versilbert</c:v>
                </c:pt>
                <c:pt idx="2">
                  <c:v>Ceramic Smooth Hydrophobic-1</c:v>
                </c:pt>
              </c:strCache>
            </c:strRef>
          </c:cat>
          <c:val>
            <c:numRef>
              <c:f>'Ausgabe Wärmeübertragerdesign'!$K$74:$M$74</c:f>
              <c:numCache>
                <c:formatCode>0.00%</c:formatCode>
                <c:ptCount val="3"/>
                <c:pt idx="0">
                  <c:v>-0.10039191478688891</c:v>
                </c:pt>
                <c:pt idx="1">
                  <c:v>-0.14958434831789336</c:v>
                </c:pt>
                <c:pt idx="2">
                  <c:v>-0.22839320698674137</c:v>
                </c:pt>
              </c:numCache>
            </c:numRef>
          </c:val>
          <c:extLst>
            <c:ext xmlns:c16="http://schemas.microsoft.com/office/drawing/2014/chart" uri="{C3380CC4-5D6E-409C-BE32-E72D297353CC}">
              <c16:uniqueId val="{00000001-EA1B-4EF1-9F59-53DFC442AD2F}"/>
            </c:ext>
          </c:extLst>
        </c:ser>
        <c:ser>
          <c:idx val="2"/>
          <c:order val="2"/>
          <c:spPr>
            <a:solidFill>
              <a:schemeClr val="bg2"/>
            </a:solidFill>
            <a:ln>
              <a:solidFill>
                <a:schemeClr val="tx1"/>
              </a:solidFill>
            </a:ln>
            <a:effectLst/>
          </c:spPr>
          <c:invertIfNegative val="0"/>
          <c:cat>
            <c:strRef>
              <c:f>'Ausgabe Wärmeübertragerdesign'!$K$44:$M$44</c:f>
              <c:strCache>
                <c:ptCount val="3"/>
                <c:pt idx="0">
                  <c:v>ZnO-Nanopartikel</c:v>
                </c:pt>
                <c:pt idx="1">
                  <c:v>Versilbert</c:v>
                </c:pt>
                <c:pt idx="2">
                  <c:v>Ceramic Smooth Hydrophobic-1</c:v>
                </c:pt>
              </c:strCache>
            </c:strRef>
          </c:cat>
          <c:val>
            <c:numRef>
              <c:f>'Ausgabe Wärmeübertragerdesign'!$K$75:$M$75</c:f>
              <c:numCache>
                <c:formatCode>0.00%</c:formatCode>
                <c:ptCount val="3"/>
                <c:pt idx="0">
                  <c:v>-8.3479731756609443E-2</c:v>
                </c:pt>
                <c:pt idx="1">
                  <c:v>-0.15136592274515309</c:v>
                </c:pt>
                <c:pt idx="2">
                  <c:v>-0.1265547429504863</c:v>
                </c:pt>
              </c:numCache>
            </c:numRef>
          </c:val>
          <c:extLst>
            <c:ext xmlns:c16="http://schemas.microsoft.com/office/drawing/2014/chart" uri="{C3380CC4-5D6E-409C-BE32-E72D297353CC}">
              <c16:uniqueId val="{00000002-EA1B-4EF1-9F59-53DFC442AD2F}"/>
            </c:ext>
          </c:extLst>
        </c:ser>
        <c:ser>
          <c:idx val="3"/>
          <c:order val="3"/>
          <c:spPr>
            <a:solidFill>
              <a:schemeClr val="bg2"/>
            </a:solidFill>
            <a:ln>
              <a:solidFill>
                <a:schemeClr val="tx1"/>
              </a:solidFill>
            </a:ln>
            <a:effectLst/>
          </c:spPr>
          <c:invertIfNegative val="0"/>
          <c:cat>
            <c:strRef>
              <c:f>'Ausgabe Wärmeübertragerdesign'!$K$44:$M$44</c:f>
              <c:strCache>
                <c:ptCount val="3"/>
                <c:pt idx="0">
                  <c:v>ZnO-Nanopartikel</c:v>
                </c:pt>
                <c:pt idx="1">
                  <c:v>Versilbert</c:v>
                </c:pt>
                <c:pt idx="2">
                  <c:v>Ceramic Smooth Hydrophobic-1</c:v>
                </c:pt>
              </c:strCache>
            </c:strRef>
          </c:cat>
          <c:val>
            <c:numRef>
              <c:f>'Ausgabe Wärmeübertragerdesign'!$K$76:$M$76</c:f>
              <c:numCache>
                <c:formatCode>0.00%</c:formatCode>
                <c:ptCount val="3"/>
                <c:pt idx="0">
                  <c:v>-7.1959749465646483E-2</c:v>
                </c:pt>
                <c:pt idx="1">
                  <c:v>-0.121340212203849</c:v>
                </c:pt>
                <c:pt idx="2">
                  <c:v>-0.1153035116642121</c:v>
                </c:pt>
              </c:numCache>
            </c:numRef>
          </c:val>
          <c:extLst>
            <c:ext xmlns:c16="http://schemas.microsoft.com/office/drawing/2014/chart" uri="{C3380CC4-5D6E-409C-BE32-E72D297353CC}">
              <c16:uniqueId val="{00000004-EA1B-4EF1-9F59-53DFC442AD2F}"/>
            </c:ext>
          </c:extLst>
        </c:ser>
        <c:ser>
          <c:idx val="4"/>
          <c:order val="4"/>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'Ausgabe Wärmeübertragerdesign'!$K$44:$M$44</c:f>
              <c:strCache>
                <c:ptCount val="3"/>
                <c:pt idx="0">
                  <c:v>ZnO-Nanopartikel</c:v>
                </c:pt>
                <c:pt idx="1">
                  <c:v>Versilbert</c:v>
                </c:pt>
                <c:pt idx="2">
                  <c:v>Ceramic Smooth Hydrophobic-1</c:v>
                </c:pt>
              </c:strCache>
            </c:strRef>
          </c:cat>
          <c:val>
            <c:numRef>
              <c:f>'Ausgabe Wärmeübertragerdesign'!$K$77:$M$77</c:f>
              <c:numCache>
                <c:formatCode>0.00%</c:formatCode>
                <c:ptCount val="3"/>
                <c:pt idx="0">
                  <c:v>-0.11226718513570494</c:v>
                </c:pt>
                <c:pt idx="1">
                  <c:v>-0.26426542759347804</c:v>
                </c:pt>
                <c:pt idx="2">
                  <c:v>-0.25195589324558704</c:v>
                </c:pt>
              </c:numCache>
            </c:numRef>
          </c:val>
          <c:extLst>
            <c:ext xmlns:c16="http://schemas.microsoft.com/office/drawing/2014/chart" uri="{C3380CC4-5D6E-409C-BE32-E72D297353CC}">
              <c16:uniqueId val="{00000005-EA1B-4EF1-9F59-53DFC442AD2F}"/>
            </c:ext>
          </c:extLst>
        </c:ser>
        <c:dLbls>
          <c:showLegendKey val="0"/>
          <c:showVal val="0"/>
          <c:showCatName val="0"/>
          <c:showSerName val="0"/>
          <c:showPercent val="0"/>
          <c:showBubbleSize val="0"/>
        </c:dLbls>
        <c:gapWidth val="150"/>
        <c:overlap val="100"/>
        <c:axId val="1345578623"/>
        <c:axId val="1335390975"/>
      </c:barChart>
      <c:lineChart>
        <c:grouping val="standard"/>
        <c:varyColors val="0"/>
        <c:ser>
          <c:idx val="5"/>
          <c:order val="5"/>
          <c:tx>
            <c:strRef>
              <c:f>'Ausgabe Wärmeübertragerdesign'!$J$60</c:f>
              <c:strCache>
                <c:ptCount val="1"/>
                <c:pt idx="0">
                  <c:v>Mittlerer Prongosewert</c:v>
                </c:pt>
              </c:strCache>
            </c:strRef>
          </c:tx>
          <c:spPr>
            <a:ln w="28575" cap="rnd">
              <a:noFill/>
              <a:round/>
            </a:ln>
            <a:effectLst/>
          </c:spPr>
          <c:marker>
            <c:symbol val="circle"/>
            <c:size val="5"/>
            <c:spPr>
              <a:solidFill>
                <a:schemeClr val="accent6"/>
              </a:solidFill>
              <a:ln w="9525">
                <a:noFill/>
              </a:ln>
              <a:effectLst/>
            </c:spPr>
          </c:marker>
          <c:val>
            <c:numRef>
              <c:f>'Ausgabe Wärmeübertragerdesign'!$K$80:$M$80</c:f>
              <c:numCache>
                <c:formatCode>0.00%</c:formatCode>
                <c:ptCount val="3"/>
                <c:pt idx="0">
                  <c:v>-0.52106659258668764</c:v>
                </c:pt>
                <c:pt idx="1">
                  <c:v>-0.52106659258668764</c:v>
                </c:pt>
                <c:pt idx="2">
                  <c:v>-0.52106659258668764</c:v>
                </c:pt>
              </c:numCache>
            </c:numRef>
          </c:val>
          <c:smooth val="0"/>
          <c:extLst>
            <c:ext xmlns:c16="http://schemas.microsoft.com/office/drawing/2014/chart" uri="{C3380CC4-5D6E-409C-BE32-E72D297353CC}">
              <c16:uniqueId val="{00000007-EA1B-4EF1-9F59-53DFC442AD2F}"/>
            </c:ext>
          </c:extLst>
        </c:ser>
        <c:ser>
          <c:idx val="6"/>
          <c:order val="6"/>
          <c:tx>
            <c:strRef>
              <c:f>'Ausgabe Wärmeübertragerdesign'!$J$61</c:f>
              <c:strCache>
                <c:ptCount val="1"/>
                <c:pt idx="0">
                  <c:v>Untere Prognose (Pessimistische Prognose)</c:v>
                </c:pt>
              </c:strCache>
            </c:strRef>
          </c:tx>
          <c:spPr>
            <a:ln w="28575" cap="rnd">
              <a:noFill/>
              <a:round/>
            </a:ln>
            <a:effectLst/>
          </c:spPr>
          <c:marker>
            <c:symbol val="circle"/>
            <c:size val="5"/>
            <c:spPr>
              <a:solidFill>
                <a:schemeClr val="accent1">
                  <a:lumMod val="60000"/>
                </a:schemeClr>
              </a:solidFill>
              <a:ln w="9525">
                <a:noFill/>
              </a:ln>
              <a:effectLst/>
            </c:spPr>
          </c:marker>
          <c:val>
            <c:numRef>
              <c:f>'Ausgabe Wärmeübertragerdesign'!$K$81:$M$81</c:f>
              <c:numCache>
                <c:formatCode>0.00%</c:formatCode>
                <c:ptCount val="3"/>
                <c:pt idx="0">
                  <c:v>10</c:v>
                </c:pt>
                <c:pt idx="1">
                  <c:v>10</c:v>
                </c:pt>
                <c:pt idx="2">
                  <c:v>10</c:v>
                </c:pt>
              </c:numCache>
            </c:numRef>
          </c:val>
          <c:smooth val="0"/>
          <c:extLst>
            <c:ext xmlns:c16="http://schemas.microsoft.com/office/drawing/2014/chart" uri="{C3380CC4-5D6E-409C-BE32-E72D297353CC}">
              <c16:uniqueId val="{00000008-EA1B-4EF1-9F59-53DFC442AD2F}"/>
            </c:ext>
          </c:extLst>
        </c:ser>
        <c:ser>
          <c:idx val="7"/>
          <c:order val="7"/>
          <c:tx>
            <c:strRef>
              <c:f>'Ausgabe Wärmeübertragerdesign'!$J$59</c:f>
              <c:strCache>
                <c:ptCount val="1"/>
                <c:pt idx="0">
                  <c:v>Obere Prognose (Optimiste Prognose)</c:v>
                </c:pt>
              </c:strCache>
            </c:strRef>
          </c:tx>
          <c:spPr>
            <a:ln w="25400" cap="rnd">
              <a:noFill/>
              <a:round/>
            </a:ln>
            <a:effectLst/>
          </c:spPr>
          <c:marker>
            <c:symbol val="circle"/>
            <c:size val="5"/>
            <c:spPr>
              <a:solidFill>
                <a:schemeClr val="accent2">
                  <a:lumMod val="60000"/>
                </a:schemeClr>
              </a:solidFill>
              <a:ln w="9525">
                <a:solidFill>
                  <a:schemeClr val="accent2">
                    <a:lumMod val="60000"/>
                  </a:schemeClr>
                </a:solidFill>
              </a:ln>
              <a:effectLst/>
            </c:spPr>
          </c:marker>
          <c:val>
            <c:numRef>
              <c:f>'Ausgabe Wärmeübertragerdesign'!$K$79:$M$79</c:f>
              <c:numCache>
                <c:formatCode>0.00%</c:formatCode>
                <c:ptCount val="3"/>
                <c:pt idx="0">
                  <c:v>10</c:v>
                </c:pt>
                <c:pt idx="1">
                  <c:v>10</c:v>
                </c:pt>
                <c:pt idx="2">
                  <c:v>10</c:v>
                </c:pt>
              </c:numCache>
            </c:numRef>
          </c:val>
          <c:smooth val="0"/>
          <c:extLst>
            <c:ext xmlns:c16="http://schemas.microsoft.com/office/drawing/2014/chart" uri="{C3380CC4-5D6E-409C-BE32-E72D297353CC}">
              <c16:uniqueId val="{00000009-EA1B-4EF1-9F59-53DFC442AD2F}"/>
            </c:ext>
          </c:extLst>
        </c:ser>
        <c:dLbls>
          <c:showLegendKey val="0"/>
          <c:showVal val="0"/>
          <c:showCatName val="0"/>
          <c:showSerName val="0"/>
          <c:showPercent val="0"/>
          <c:showBubbleSize val="0"/>
        </c:dLbls>
        <c:marker val="1"/>
        <c:smooth val="0"/>
        <c:axId val="1345578623"/>
        <c:axId val="1335390975"/>
      </c:lineChart>
      <c:catAx>
        <c:axId val="1345578623"/>
        <c:scaling>
          <c:orientation val="minMax"/>
        </c:scaling>
        <c:delete val="0"/>
        <c:axPos val="b"/>
        <c:numFmt formatCode="General" sourceLinked="1"/>
        <c:majorTickMark val="none"/>
        <c:minorTickMark val="none"/>
        <c:tickLblPos val="high"/>
        <c:spPr>
          <a:noFill/>
          <a:ln w="9525" cap="flat" cmpd="sng" algn="ctr">
            <a:solidFill>
              <a:sysClr val="windowText" lastClr="000000"/>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335390975"/>
        <c:crosses val="autoZero"/>
        <c:auto val="1"/>
        <c:lblAlgn val="ctr"/>
        <c:lblOffset val="100"/>
        <c:noMultiLvlLbl val="0"/>
      </c:catAx>
      <c:valAx>
        <c:axId val="1335390975"/>
        <c:scaling>
          <c:orientation val="minMax"/>
          <c:max val="0"/>
          <c:min val="-1"/>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 Erwartbare</a:t>
                </a:r>
                <a:r>
                  <a:rPr lang="de-DE" baseline="0"/>
                  <a:t> </a:t>
                </a:r>
                <a:r>
                  <a:rPr lang="de-DE"/>
                  <a:t>Prozentuale Reduktion übertragbare</a:t>
                </a:r>
                <a:r>
                  <a:rPr lang="de-DE" baseline="0"/>
                  <a:t> Heiz-/Kühlleistunng </a:t>
                </a:r>
                <a:br>
                  <a:rPr lang="de-DE" baseline="0"/>
                </a:br>
                <a:r>
                  <a:rPr lang="de-DE" baseline="0"/>
                  <a:t>durch Fouling nach einem Jahr</a:t>
                </a:r>
                <a:endParaRPr lang="de-DE"/>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345578623"/>
        <c:crosses val="autoZero"/>
        <c:crossBetween val="between"/>
        <c:majorUnit val="0.2"/>
        <c:minorUnit val="0.1"/>
      </c:valAx>
      <c:spPr>
        <a:noFill/>
        <a:ln>
          <a:solidFill>
            <a:sysClr val="windowText" lastClr="000000"/>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77482894936036"/>
          <c:y val="5.7537778473374879E-2"/>
          <c:w val="0.71542842052903621"/>
          <c:h val="0.94246229879999321"/>
        </c:manualLayout>
      </c:layout>
      <c:barChart>
        <c:barDir val="col"/>
        <c:grouping val="stacked"/>
        <c:varyColors val="0"/>
        <c:ser>
          <c:idx val="0"/>
          <c:order val="0"/>
          <c:spPr>
            <a:noFill/>
            <a:ln>
              <a:noFill/>
            </a:ln>
            <a:effectLst/>
          </c:spPr>
          <c:invertIfNegative val="0"/>
          <c:val>
            <c:numRef>
              <c:f>'Ausgabe Wärmeübertragerdesign'!$K$87:$M$87</c:f>
              <c:numCache>
                <c:formatCode>0.00%</c:formatCode>
                <c:ptCount val="3"/>
                <c:pt idx="0">
                  <c:v>0</c:v>
                </c:pt>
                <c:pt idx="1">
                  <c:v>0</c:v>
                </c:pt>
                <c:pt idx="2">
                  <c:v>0</c:v>
                </c:pt>
              </c:numCache>
            </c:numRef>
          </c:val>
          <c:extLst>
            <c:ext xmlns:c16="http://schemas.microsoft.com/office/drawing/2014/chart" uri="{C3380CC4-5D6E-409C-BE32-E72D297353CC}">
              <c16:uniqueId val="{00000000-9CE5-4782-B8BD-6635A333A2BA}"/>
            </c:ext>
          </c:extLst>
        </c:ser>
        <c:ser>
          <c:idx val="1"/>
          <c:order val="1"/>
          <c:spPr>
            <a:solidFill>
              <a:srgbClr val="F17171">
                <a:alpha val="34902"/>
              </a:srgbClr>
            </a:solidFill>
            <a:ln>
              <a:solidFill>
                <a:schemeClr val="accent2">
                  <a:lumMod val="50000"/>
                </a:schemeClr>
              </a:solidFill>
            </a:ln>
            <a:effectLst/>
          </c:spPr>
          <c:invertIfNegative val="0"/>
          <c:val>
            <c:numRef>
              <c:f>'Ausgabe Wärmeübertragerdesign'!$K$88:$M$88</c:f>
              <c:numCache>
                <c:formatCode>0.00%</c:formatCode>
                <c:ptCount val="3"/>
                <c:pt idx="0">
                  <c:v>0</c:v>
                </c:pt>
                <c:pt idx="1">
                  <c:v>0</c:v>
                </c:pt>
                <c:pt idx="2">
                  <c:v>0</c:v>
                </c:pt>
              </c:numCache>
            </c:numRef>
          </c:val>
          <c:extLst>
            <c:ext xmlns:c16="http://schemas.microsoft.com/office/drawing/2014/chart" uri="{C3380CC4-5D6E-409C-BE32-E72D297353CC}">
              <c16:uniqueId val="{00000001-9CE5-4782-B8BD-6635A333A2BA}"/>
            </c:ext>
          </c:extLst>
        </c:ser>
        <c:ser>
          <c:idx val="2"/>
          <c:order val="2"/>
          <c:spPr>
            <a:solidFill>
              <a:srgbClr val="F17171">
                <a:alpha val="36863"/>
              </a:srgbClr>
            </a:solidFill>
            <a:ln>
              <a:solidFill>
                <a:schemeClr val="accent2">
                  <a:lumMod val="50000"/>
                </a:schemeClr>
              </a:solidFill>
            </a:ln>
            <a:effectLst/>
          </c:spPr>
          <c:invertIfNegative val="0"/>
          <c:val>
            <c:numRef>
              <c:f>'Ausgabe Wärmeübertragerdesign'!$K$89:$M$89</c:f>
              <c:numCache>
                <c:formatCode>0.00%</c:formatCode>
                <c:ptCount val="3"/>
                <c:pt idx="0">
                  <c:v>0</c:v>
                </c:pt>
                <c:pt idx="1">
                  <c:v>0</c:v>
                </c:pt>
                <c:pt idx="2">
                  <c:v>0</c:v>
                </c:pt>
              </c:numCache>
            </c:numRef>
          </c:val>
          <c:extLst>
            <c:ext xmlns:c16="http://schemas.microsoft.com/office/drawing/2014/chart" uri="{C3380CC4-5D6E-409C-BE32-E72D297353CC}">
              <c16:uniqueId val="{00000002-9CE5-4782-B8BD-6635A333A2BA}"/>
            </c:ext>
          </c:extLst>
        </c:ser>
        <c:dLbls>
          <c:showLegendKey val="0"/>
          <c:showVal val="0"/>
          <c:showCatName val="0"/>
          <c:showSerName val="0"/>
          <c:showPercent val="0"/>
          <c:showBubbleSize val="0"/>
        </c:dLbls>
        <c:gapWidth val="500"/>
        <c:overlap val="100"/>
        <c:axId val="236711855"/>
        <c:axId val="236717679"/>
      </c:barChart>
      <c:catAx>
        <c:axId val="236711855"/>
        <c:scaling>
          <c:orientation val="minMax"/>
        </c:scaling>
        <c:delete val="1"/>
        <c:axPos val="b"/>
        <c:majorTickMark val="out"/>
        <c:minorTickMark val="none"/>
        <c:tickLblPos val="nextTo"/>
        <c:crossAx val="236717679"/>
        <c:crosses val="autoZero"/>
        <c:auto val="1"/>
        <c:lblAlgn val="ctr"/>
        <c:lblOffset val="100"/>
        <c:noMultiLvlLbl val="0"/>
      </c:catAx>
      <c:valAx>
        <c:axId val="236717679"/>
        <c:scaling>
          <c:orientation val="minMax"/>
          <c:min val="-1"/>
        </c:scaling>
        <c:delete val="1"/>
        <c:axPos val="l"/>
        <c:majorGridlines>
          <c:spPr>
            <a:ln w="9525" cap="flat" cmpd="sng" algn="ctr">
              <a:noFill/>
              <a:round/>
            </a:ln>
            <a:effectLst/>
          </c:spPr>
        </c:majorGridlines>
        <c:numFmt formatCode="0.00%" sourceLinked="1"/>
        <c:majorTickMark val="out"/>
        <c:minorTickMark val="none"/>
        <c:tickLblPos val="nextTo"/>
        <c:crossAx val="23671185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'Strömung-Temp-Fouling'!$B$3:$B$3</c:f>
              <c:strCache>
                <c:ptCount val="1"/>
                <c:pt idx="0">
                  <c:v>Temperatur</c:v>
                </c:pt>
              </c:strCache>
            </c:strRef>
          </c:tx>
          <c:spPr>
            <a:solidFill>
              <a:srgbClr val="FF9600"/>
            </a:solidFill>
            <a:ln w="0">
              <a:noFill/>
            </a:ln>
          </c:spPr>
          <c:invertIfNegative val="0"/>
          <c:cat>
            <c:strRef>
              <c:f>'Strömung-Temp-Fouling'!$A$6:$A$10</c:f>
              <c:strCache>
                <c:ptCount val="5"/>
                <c:pt idx="0">
                  <c:v>Biofouling</c:v>
                </c:pt>
                <c:pt idx="1">
                  <c:v>Kristallisationsfouling</c:v>
                </c:pt>
                <c:pt idx="2">
                  <c:v>Partikelfouling</c:v>
                </c:pt>
                <c:pt idx="3">
                  <c:v>Korrosionsfouling</c:v>
                </c:pt>
                <c:pt idx="4">
                  <c:v>Gesamtfouling</c:v>
                </c:pt>
              </c:strCache>
            </c:strRef>
          </c:cat>
          <c:val>
            <c:numRef>
              <c:f>'Strömung-Temp-Fouling'!$B$6:$B$10</c:f>
              <c:numCache>
                <c:formatCode>General</c:formatCode>
                <c:ptCount val="5"/>
                <c:pt idx="0">
                  <c:v>8</c:v>
                </c:pt>
                <c:pt idx="1">
                  <c:v>0</c:v>
                </c:pt>
                <c:pt idx="2">
                  <c:v>5</c:v>
                </c:pt>
                <c:pt idx="3">
                  <c:v>3</c:v>
                </c:pt>
                <c:pt idx="4">
                  <c:v>16</c:v>
                </c:pt>
              </c:numCache>
            </c:numRef>
          </c:val>
          <c:extLst>
            <c:ext xmlns:c16="http://schemas.microsoft.com/office/drawing/2014/chart" uri="{C3380CC4-5D6E-409C-BE32-E72D297353CC}">
              <c16:uniqueId val="{00000000-C9CD-4BE4-9B07-12CA744A10F2}"/>
            </c:ext>
          </c:extLst>
        </c:ser>
        <c:ser>
          <c:idx val="1"/>
          <c:order val="1"/>
          <c:tx>
            <c:strRef>
              <c:f>'Strömung-Temp-Fouling'!$F$3:$F$3</c:f>
              <c:strCache>
                <c:ptCount val="1"/>
                <c:pt idx="0">
                  <c:v>Strömungsgeschwindigkeit</c:v>
                </c:pt>
              </c:strCache>
            </c:strRef>
          </c:tx>
          <c:spPr>
            <a:solidFill>
              <a:srgbClr val="00A0FC"/>
            </a:solidFill>
            <a:ln w="0">
              <a:noFill/>
            </a:ln>
          </c:spPr>
          <c:invertIfNegative val="0"/>
          <c:cat>
            <c:strRef>
              <c:f>'Strömung-Temp-Fouling'!$A$6:$A$10</c:f>
              <c:strCache>
                <c:ptCount val="5"/>
                <c:pt idx="0">
                  <c:v>Biofouling</c:v>
                </c:pt>
                <c:pt idx="1">
                  <c:v>Kristallisationsfouling</c:v>
                </c:pt>
                <c:pt idx="2">
                  <c:v>Partikelfouling</c:v>
                </c:pt>
                <c:pt idx="3">
                  <c:v>Korrosionsfouling</c:v>
                </c:pt>
                <c:pt idx="4">
                  <c:v>Gesamtfouling</c:v>
                </c:pt>
              </c:strCache>
            </c:strRef>
          </c:cat>
          <c:val>
            <c:numRef>
              <c:f>'Strömung-Temp-Fouling'!$F$6:$F$10</c:f>
              <c:numCache>
                <c:formatCode>General</c:formatCode>
                <c:ptCount val="5"/>
                <c:pt idx="0">
                  <c:v>0</c:v>
                </c:pt>
                <c:pt idx="1">
                  <c:v>5</c:v>
                </c:pt>
                <c:pt idx="2">
                  <c:v>0</c:v>
                </c:pt>
                <c:pt idx="3">
                  <c:v>1</c:v>
                </c:pt>
                <c:pt idx="4">
                  <c:v>6</c:v>
                </c:pt>
              </c:numCache>
            </c:numRef>
          </c:val>
          <c:extLst>
            <c:ext xmlns:c16="http://schemas.microsoft.com/office/drawing/2014/chart" uri="{C3380CC4-5D6E-409C-BE32-E72D297353CC}">
              <c16:uniqueId val="{00000001-C9CD-4BE4-9B07-12CA744A10F2}"/>
            </c:ext>
          </c:extLst>
        </c:ser>
        <c:dLbls>
          <c:showLegendKey val="0"/>
          <c:showVal val="0"/>
          <c:showCatName val="0"/>
          <c:showSerName val="0"/>
          <c:showPercent val="0"/>
          <c:showBubbleSize val="0"/>
        </c:dLbls>
        <c:gapWidth val="100"/>
        <c:axId val="88544000"/>
        <c:axId val="88545536"/>
      </c:barChart>
      <c:catAx>
        <c:axId val="88544000"/>
        <c:scaling>
          <c:orientation val="minMax"/>
        </c:scaling>
        <c:delete val="0"/>
        <c:axPos val="b"/>
        <c:numFmt formatCode="General" sourceLinked="0"/>
        <c:majorTickMark val="cross"/>
        <c:minorTickMark val="cross"/>
        <c:tickLblPos val="nextTo"/>
        <c:spPr>
          <a:ln w="0">
            <a:solidFill>
              <a:srgbClr val="B3B3B3"/>
            </a:solidFill>
          </a:ln>
        </c:spPr>
        <c:txPr>
          <a:bodyPr/>
          <a:lstStyle/>
          <a:p>
            <a:pPr>
              <a:defRPr sz="1000" b="0" strike="noStrike" spc="-1">
                <a:solidFill>
                  <a:srgbClr val="000000"/>
                </a:solidFill>
                <a:latin typeface="Arial"/>
              </a:defRPr>
            </a:pPr>
            <a:endParaRPr lang="de-DE"/>
          </a:p>
        </c:txPr>
        <c:crossAx val="88545536"/>
        <c:crosses val="autoZero"/>
        <c:auto val="1"/>
        <c:lblAlgn val="ctr"/>
        <c:lblOffset val="100"/>
        <c:noMultiLvlLbl val="0"/>
      </c:catAx>
      <c:valAx>
        <c:axId val="88545536"/>
        <c:scaling>
          <c:orientation val="minMax"/>
        </c:scaling>
        <c:delete val="0"/>
        <c:axPos val="l"/>
        <c:majorGridlines>
          <c:spPr>
            <a:ln w="0">
              <a:solidFill>
                <a:srgbClr val="B3B3B3"/>
              </a:solidFill>
            </a:ln>
          </c:spPr>
        </c:majorGridlines>
        <c:numFmt formatCode="General" sourceLinked="0"/>
        <c:majorTickMark val="cross"/>
        <c:minorTickMark val="cross"/>
        <c:tickLblPos val="nextTo"/>
        <c:spPr>
          <a:ln w="0">
            <a:solidFill>
              <a:srgbClr val="B3B3B3"/>
            </a:solidFill>
          </a:ln>
        </c:spPr>
        <c:txPr>
          <a:bodyPr/>
          <a:lstStyle/>
          <a:p>
            <a:pPr>
              <a:defRPr sz="1000" b="0" strike="noStrike" spc="-1">
                <a:solidFill>
                  <a:srgbClr val="000000"/>
                </a:solidFill>
                <a:latin typeface="Arial"/>
              </a:defRPr>
            </a:pPr>
            <a:endParaRPr lang="de-DE"/>
          </a:p>
        </c:txPr>
        <c:crossAx val="88544000"/>
        <c:crosses val="autoZero"/>
        <c:crossBetween val="between"/>
      </c:valAx>
      <c:spPr>
        <a:noFill/>
        <a:ln w="0">
          <a:solidFill>
            <a:srgbClr val="B3B3B3"/>
          </a:solidFill>
        </a:ln>
      </c:spPr>
    </c:plotArea>
    <c:legend>
      <c:legendPos val="r"/>
      <c:overlay val="0"/>
      <c:spPr>
        <a:noFill/>
        <a:ln w="0">
          <a:noFill/>
        </a:ln>
      </c:spPr>
      <c:txPr>
        <a:bodyPr/>
        <a:lstStyle/>
        <a:p>
          <a:pPr>
            <a:defRPr sz="1000" b="0" strike="noStrike" spc="-1">
              <a:solidFill>
                <a:srgbClr val="000000"/>
              </a:solidFill>
              <a:latin typeface="Arial"/>
            </a:defRPr>
          </a:pPr>
          <a:endParaRPr lang="de-DE"/>
        </a:p>
      </c:txPr>
    </c:legend>
    <c:plotVisOnly val="1"/>
    <c:dispBlanksAs val="gap"/>
    <c:showDLblsOverMax val="0"/>
  </c:chart>
  <c:spPr>
    <a:solidFill>
      <a:srgbClr val="FFFFFF"/>
    </a:solidFill>
    <a:ln w="0">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strike="noStrike" spc="-1">
                <a:solidFill>
                  <a:srgbClr val="000000"/>
                </a:solidFill>
                <a:latin typeface="Arial"/>
              </a:defRPr>
            </a:pPr>
            <a:r>
              <a:rPr lang="de-DE" sz="1300" b="0" strike="noStrike" spc="-1">
                <a:solidFill>
                  <a:srgbClr val="000000"/>
                </a:solidFill>
                <a:latin typeface="Arial"/>
              </a:rPr>
              <a:t>Strömungsgeschwindigkeit u</a:t>
            </a:r>
          </a:p>
        </c:rich>
      </c:tx>
      <c:overlay val="0"/>
      <c:spPr>
        <a:noFill/>
        <a:ln w="0">
          <a:noFill/>
        </a:ln>
      </c:spPr>
    </c:title>
    <c:autoTitleDeleted val="0"/>
    <c:plotArea>
      <c:layout>
        <c:manualLayout>
          <c:layoutTarget val="inner"/>
          <c:xMode val="edge"/>
          <c:yMode val="edge"/>
          <c:x val="9.9559955995599608E-2"/>
          <c:y val="0.18112178654894801"/>
          <c:w val="0.86042354235423602"/>
          <c:h val="0.66995585562191617"/>
        </c:manualLayout>
      </c:layout>
      <c:scatterChart>
        <c:scatterStyle val="lineMarker"/>
        <c:varyColors val="0"/>
        <c:ser>
          <c:idx val="0"/>
          <c:order val="0"/>
          <c:spPr>
            <a:ln w="28800">
              <a:noFill/>
            </a:ln>
          </c:spPr>
          <c:marker>
            <c:symbol val="square"/>
            <c:size val="8"/>
            <c:spPr>
              <a:solidFill>
                <a:srgbClr val="FF0000"/>
              </a:solidFill>
            </c:spPr>
          </c:marker>
          <c:xVal>
            <c:numRef>
              <c:f>'Strömung-Temp-Fouling'!$F$4:$F$4</c:f>
              <c:numCache>
                <c:formatCode>0.00" m/s"</c:formatCode>
                <c:ptCount val="1"/>
                <c:pt idx="0">
                  <c:v>10.500672043010752</c:v>
                </c:pt>
              </c:numCache>
            </c:numRef>
          </c:xVal>
          <c:yVal>
            <c:numRef>
              <c:f>'Strömung-Temp-Fouling'!$F$10:$F$10</c:f>
              <c:numCache>
                <c:formatCode>General</c:formatCode>
                <c:ptCount val="1"/>
                <c:pt idx="0">
                  <c:v>6</c:v>
                </c:pt>
              </c:numCache>
            </c:numRef>
          </c:yVal>
          <c:smooth val="1"/>
          <c:extLst>
            <c:ext xmlns:c16="http://schemas.microsoft.com/office/drawing/2014/chart" uri="{C3380CC4-5D6E-409C-BE32-E72D297353CC}">
              <c16:uniqueId val="{00000000-4A1E-4453-A4DB-7C61A4A03745}"/>
            </c:ext>
          </c:extLst>
        </c:ser>
        <c:ser>
          <c:idx val="1"/>
          <c:order val="1"/>
          <c:spPr>
            <a:ln w="9000">
              <a:solidFill>
                <a:srgbClr val="FF0000"/>
              </a:solidFill>
              <a:round/>
            </a:ln>
          </c:spPr>
          <c:marker>
            <c:symbol val="none"/>
          </c:marker>
          <c:xVal>
            <c:numRef>
              <c:f>'Strömung-Temp-Fouling'!$Q$3:$Q$28</c:f>
              <c:numCache>
                <c:formatCode>General</c:formatCode>
                <c:ptCount val="26"/>
                <c:pt idx="0">
                  <c:v>0.1</c:v>
                </c:pt>
                <c:pt idx="1">
                  <c:v>0.2</c:v>
                </c:pt>
                <c:pt idx="2">
                  <c:v>0.3</c:v>
                </c:pt>
                <c:pt idx="3">
                  <c:v>0.4</c:v>
                </c:pt>
                <c:pt idx="4">
                  <c:v>0.5</c:v>
                </c:pt>
                <c:pt idx="5">
                  <c:v>0.6</c:v>
                </c:pt>
                <c:pt idx="6">
                  <c:v>0.7</c:v>
                </c:pt>
                <c:pt idx="7">
                  <c:v>0.8</c:v>
                </c:pt>
                <c:pt idx="8">
                  <c:v>0.9</c:v>
                </c:pt>
                <c:pt idx="9">
                  <c:v>1</c:v>
                </c:pt>
                <c:pt idx="10">
                  <c:v>1.1000000000000001</c:v>
                </c:pt>
                <c:pt idx="12">
                  <c:v>1.2</c:v>
                </c:pt>
                <c:pt idx="13">
                  <c:v>1.3</c:v>
                </c:pt>
                <c:pt idx="14">
                  <c:v>1.4</c:v>
                </c:pt>
                <c:pt idx="15">
                  <c:v>1.5</c:v>
                </c:pt>
                <c:pt idx="16">
                  <c:v>1.6</c:v>
                </c:pt>
                <c:pt idx="17">
                  <c:v>1.7</c:v>
                </c:pt>
                <c:pt idx="18">
                  <c:v>1.8</c:v>
                </c:pt>
                <c:pt idx="19">
                  <c:v>1.9</c:v>
                </c:pt>
                <c:pt idx="20">
                  <c:v>2</c:v>
                </c:pt>
                <c:pt idx="21">
                  <c:v>2.1</c:v>
                </c:pt>
                <c:pt idx="22">
                  <c:v>2.2000000000000002</c:v>
                </c:pt>
                <c:pt idx="23">
                  <c:v>2.2999999999999998</c:v>
                </c:pt>
                <c:pt idx="24">
                  <c:v>2.4</c:v>
                </c:pt>
                <c:pt idx="25">
                  <c:v>2.5</c:v>
                </c:pt>
              </c:numCache>
            </c:numRef>
          </c:xVal>
          <c:yVal>
            <c:numRef>
              <c:f>'Strömung-Temp-Fouling'!$W$3:$W$28</c:f>
              <c:numCache>
                <c:formatCode>General</c:formatCode>
                <c:ptCount val="26"/>
                <c:pt idx="0">
                  <c:v>27</c:v>
                </c:pt>
                <c:pt idx="1">
                  <c:v>27</c:v>
                </c:pt>
                <c:pt idx="2">
                  <c:v>27</c:v>
                </c:pt>
                <c:pt idx="3">
                  <c:v>27</c:v>
                </c:pt>
                <c:pt idx="4">
                  <c:v>27</c:v>
                </c:pt>
                <c:pt idx="5">
                  <c:v>27</c:v>
                </c:pt>
                <c:pt idx="6">
                  <c:v>27</c:v>
                </c:pt>
                <c:pt idx="7">
                  <c:v>27</c:v>
                </c:pt>
                <c:pt idx="8">
                  <c:v>27</c:v>
                </c:pt>
                <c:pt idx="9">
                  <c:v>27</c:v>
                </c:pt>
                <c:pt idx="10">
                  <c:v>27</c:v>
                </c:pt>
                <c:pt idx="12">
                  <c:v>27</c:v>
                </c:pt>
                <c:pt idx="13">
                  <c:v>27</c:v>
                </c:pt>
                <c:pt idx="14">
                  <c:v>27</c:v>
                </c:pt>
                <c:pt idx="15">
                  <c:v>27</c:v>
                </c:pt>
                <c:pt idx="16">
                  <c:v>27</c:v>
                </c:pt>
                <c:pt idx="17">
                  <c:v>27</c:v>
                </c:pt>
                <c:pt idx="18">
                  <c:v>27</c:v>
                </c:pt>
                <c:pt idx="19">
                  <c:v>27</c:v>
                </c:pt>
                <c:pt idx="20">
                  <c:v>27</c:v>
                </c:pt>
                <c:pt idx="21">
                  <c:v>27</c:v>
                </c:pt>
                <c:pt idx="22">
                  <c:v>27</c:v>
                </c:pt>
                <c:pt idx="23">
                  <c:v>27</c:v>
                </c:pt>
                <c:pt idx="24">
                  <c:v>27</c:v>
                </c:pt>
                <c:pt idx="25">
                  <c:v>27</c:v>
                </c:pt>
              </c:numCache>
            </c:numRef>
          </c:yVal>
          <c:smooth val="1"/>
          <c:extLst>
            <c:ext xmlns:c16="http://schemas.microsoft.com/office/drawing/2014/chart" uri="{C3380CC4-5D6E-409C-BE32-E72D297353CC}">
              <c16:uniqueId val="{00000001-4A1E-4453-A4DB-7C61A4A03745}"/>
            </c:ext>
          </c:extLst>
        </c:ser>
        <c:ser>
          <c:idx val="2"/>
          <c:order val="2"/>
          <c:spPr>
            <a:ln w="28800">
              <a:solidFill>
                <a:srgbClr val="0000EE"/>
              </a:solidFill>
              <a:round/>
            </a:ln>
          </c:spPr>
          <c:marker>
            <c:symbol val="none"/>
          </c:marker>
          <c:xVal>
            <c:numRef>
              <c:f>'Strömung-Temp-Fouling'!$Q$3:$Q$28</c:f>
              <c:numCache>
                <c:formatCode>General</c:formatCode>
                <c:ptCount val="26"/>
                <c:pt idx="0">
                  <c:v>0.1</c:v>
                </c:pt>
                <c:pt idx="1">
                  <c:v>0.2</c:v>
                </c:pt>
                <c:pt idx="2">
                  <c:v>0.3</c:v>
                </c:pt>
                <c:pt idx="3">
                  <c:v>0.4</c:v>
                </c:pt>
                <c:pt idx="4">
                  <c:v>0.5</c:v>
                </c:pt>
                <c:pt idx="5">
                  <c:v>0.6</c:v>
                </c:pt>
                <c:pt idx="6">
                  <c:v>0.7</c:v>
                </c:pt>
                <c:pt idx="7">
                  <c:v>0.8</c:v>
                </c:pt>
                <c:pt idx="8">
                  <c:v>0.9</c:v>
                </c:pt>
                <c:pt idx="9">
                  <c:v>1</c:v>
                </c:pt>
                <c:pt idx="10">
                  <c:v>1.1000000000000001</c:v>
                </c:pt>
                <c:pt idx="12">
                  <c:v>1.2</c:v>
                </c:pt>
                <c:pt idx="13">
                  <c:v>1.3</c:v>
                </c:pt>
                <c:pt idx="14">
                  <c:v>1.4</c:v>
                </c:pt>
                <c:pt idx="15">
                  <c:v>1.5</c:v>
                </c:pt>
                <c:pt idx="16">
                  <c:v>1.6</c:v>
                </c:pt>
                <c:pt idx="17">
                  <c:v>1.7</c:v>
                </c:pt>
                <c:pt idx="18">
                  <c:v>1.8</c:v>
                </c:pt>
                <c:pt idx="19">
                  <c:v>1.9</c:v>
                </c:pt>
                <c:pt idx="20">
                  <c:v>2</c:v>
                </c:pt>
                <c:pt idx="21">
                  <c:v>2.1</c:v>
                </c:pt>
                <c:pt idx="22">
                  <c:v>2.2000000000000002</c:v>
                </c:pt>
                <c:pt idx="23">
                  <c:v>2.2999999999999998</c:v>
                </c:pt>
                <c:pt idx="24">
                  <c:v>2.4</c:v>
                </c:pt>
                <c:pt idx="25">
                  <c:v>2.5</c:v>
                </c:pt>
              </c:numCache>
            </c:numRef>
          </c:xVal>
          <c:yVal>
            <c:numRef>
              <c:f>'Strömung-Temp-Fouling'!$V$3:$V$28</c:f>
              <c:numCache>
                <c:formatCode>General</c:formatCode>
                <c:ptCount val="26"/>
                <c:pt idx="0">
                  <c:v>25</c:v>
                </c:pt>
                <c:pt idx="1">
                  <c:v>25</c:v>
                </c:pt>
                <c:pt idx="2">
                  <c:v>27</c:v>
                </c:pt>
                <c:pt idx="3">
                  <c:v>27</c:v>
                </c:pt>
                <c:pt idx="4">
                  <c:v>27</c:v>
                </c:pt>
                <c:pt idx="5">
                  <c:v>27</c:v>
                </c:pt>
                <c:pt idx="6">
                  <c:v>25</c:v>
                </c:pt>
                <c:pt idx="7">
                  <c:v>24</c:v>
                </c:pt>
                <c:pt idx="8">
                  <c:v>22</c:v>
                </c:pt>
                <c:pt idx="9">
                  <c:v>20</c:v>
                </c:pt>
                <c:pt idx="10">
                  <c:v>19</c:v>
                </c:pt>
                <c:pt idx="12">
                  <c:v>17</c:v>
                </c:pt>
                <c:pt idx="13">
                  <c:v>16</c:v>
                </c:pt>
                <c:pt idx="14">
                  <c:v>15</c:v>
                </c:pt>
                <c:pt idx="15">
                  <c:v>14</c:v>
                </c:pt>
                <c:pt idx="16">
                  <c:v>12</c:v>
                </c:pt>
                <c:pt idx="17">
                  <c:v>12</c:v>
                </c:pt>
                <c:pt idx="18">
                  <c:v>11</c:v>
                </c:pt>
                <c:pt idx="19">
                  <c:v>11</c:v>
                </c:pt>
                <c:pt idx="20">
                  <c:v>8</c:v>
                </c:pt>
                <c:pt idx="21">
                  <c:v>8</c:v>
                </c:pt>
                <c:pt idx="22">
                  <c:v>7</c:v>
                </c:pt>
                <c:pt idx="23">
                  <c:v>7</c:v>
                </c:pt>
                <c:pt idx="24">
                  <c:v>6</c:v>
                </c:pt>
                <c:pt idx="25">
                  <c:v>6</c:v>
                </c:pt>
              </c:numCache>
            </c:numRef>
          </c:yVal>
          <c:smooth val="1"/>
          <c:extLst>
            <c:ext xmlns:c16="http://schemas.microsoft.com/office/drawing/2014/chart" uri="{C3380CC4-5D6E-409C-BE32-E72D297353CC}">
              <c16:uniqueId val="{00000002-4A1E-4453-A4DB-7C61A4A03745}"/>
            </c:ext>
          </c:extLst>
        </c:ser>
        <c:dLbls>
          <c:showLegendKey val="0"/>
          <c:showVal val="0"/>
          <c:showCatName val="0"/>
          <c:showSerName val="0"/>
          <c:showPercent val="0"/>
          <c:showBubbleSize val="0"/>
        </c:dLbls>
        <c:axId val="88625920"/>
        <c:axId val="88627840"/>
      </c:scatterChart>
      <c:valAx>
        <c:axId val="88625920"/>
        <c:scaling>
          <c:orientation val="minMax"/>
          <c:max val="3"/>
        </c:scaling>
        <c:delete val="0"/>
        <c:axPos val="b"/>
        <c:majorGridlines>
          <c:spPr>
            <a:ln w="0">
              <a:solidFill>
                <a:srgbClr val="B3B3B3"/>
              </a:solidFill>
            </a:ln>
          </c:spPr>
        </c:majorGridlines>
        <c:minorGridlines>
          <c:spPr>
            <a:ln w="0">
              <a:solidFill>
                <a:srgbClr val="DDDDDD"/>
              </a:solidFill>
            </a:ln>
          </c:spPr>
        </c:minorGridlines>
        <c:title>
          <c:tx>
            <c:rich>
              <a:bodyPr rot="0"/>
              <a:lstStyle/>
              <a:p>
                <a:pPr>
                  <a:defRPr sz="900" b="0" strike="noStrike" spc="-1">
                    <a:solidFill>
                      <a:srgbClr val="000000"/>
                    </a:solidFill>
                    <a:latin typeface="Arial"/>
                  </a:defRPr>
                </a:pPr>
                <a:r>
                  <a:rPr lang="de-DE" sz="900" b="0" strike="noStrike" spc="-1">
                    <a:solidFill>
                      <a:srgbClr val="000000"/>
                    </a:solidFill>
                    <a:latin typeface="Arial"/>
                  </a:rPr>
                  <a:t>u in m/s</a:t>
                </a:r>
              </a:p>
            </c:rich>
          </c:tx>
          <c:overlay val="0"/>
          <c:spPr>
            <a:noFill/>
            <a:ln w="0">
              <a:noFill/>
            </a:ln>
          </c:spPr>
        </c:title>
        <c:numFmt formatCode="General" sourceLinked="0"/>
        <c:majorTickMark val="cross"/>
        <c:minorTickMark val="cross"/>
        <c:tickLblPos val="nextTo"/>
        <c:spPr>
          <a:ln w="0">
            <a:solidFill>
              <a:srgbClr val="B3B3B3"/>
            </a:solidFill>
          </a:ln>
        </c:spPr>
        <c:txPr>
          <a:bodyPr/>
          <a:lstStyle/>
          <a:p>
            <a:pPr>
              <a:defRPr sz="1000" b="0" strike="noStrike" spc="-1">
                <a:solidFill>
                  <a:srgbClr val="000000"/>
                </a:solidFill>
                <a:latin typeface="Arial"/>
              </a:defRPr>
            </a:pPr>
            <a:endParaRPr lang="de-DE"/>
          </a:p>
        </c:txPr>
        <c:crossAx val="88627840"/>
        <c:crosses val="autoZero"/>
        <c:crossBetween val="midCat"/>
      </c:valAx>
      <c:valAx>
        <c:axId val="88627840"/>
        <c:scaling>
          <c:orientation val="minMax"/>
        </c:scaling>
        <c:delete val="0"/>
        <c:axPos val="l"/>
        <c:majorGridlines>
          <c:spPr>
            <a:ln w="0">
              <a:solidFill>
                <a:srgbClr val="B3B3B3"/>
              </a:solidFill>
            </a:ln>
          </c:spPr>
        </c:majorGridlines>
        <c:title>
          <c:tx>
            <c:rich>
              <a:bodyPr rot="-5400000"/>
              <a:lstStyle/>
              <a:p>
                <a:pPr>
                  <a:defRPr sz="900" b="0" strike="noStrike" spc="-1">
                    <a:solidFill>
                      <a:srgbClr val="000000"/>
                    </a:solidFill>
                    <a:latin typeface="Arial"/>
                  </a:defRPr>
                </a:pPr>
                <a:r>
                  <a:rPr lang="de-DE" sz="900" b="0" strike="noStrike" spc="-1">
                    <a:solidFill>
                      <a:srgbClr val="000000"/>
                    </a:solidFill>
                    <a:latin typeface="Arial"/>
                  </a:rPr>
                  <a:t>Fouling</a:t>
                </a:r>
              </a:p>
            </c:rich>
          </c:tx>
          <c:overlay val="0"/>
          <c:spPr>
            <a:noFill/>
            <a:ln w="0">
              <a:noFill/>
            </a:ln>
          </c:spPr>
        </c:title>
        <c:numFmt formatCode="General" sourceLinked="0"/>
        <c:majorTickMark val="cross"/>
        <c:minorTickMark val="cross"/>
        <c:tickLblPos val="nextTo"/>
        <c:spPr>
          <a:ln w="0">
            <a:solidFill>
              <a:srgbClr val="B3B3B3"/>
            </a:solidFill>
          </a:ln>
        </c:spPr>
        <c:txPr>
          <a:bodyPr/>
          <a:lstStyle/>
          <a:p>
            <a:pPr>
              <a:defRPr sz="1000" b="0" strike="noStrike" spc="-1">
                <a:solidFill>
                  <a:srgbClr val="000000"/>
                </a:solidFill>
                <a:latin typeface="Arial"/>
              </a:defRPr>
            </a:pPr>
            <a:endParaRPr lang="de-DE"/>
          </a:p>
        </c:txPr>
        <c:crossAx val="88625920"/>
        <c:crosses val="autoZero"/>
        <c:crossBetween val="midCat"/>
      </c:valAx>
      <c:spPr>
        <a:noFill/>
        <a:ln w="0">
          <a:solidFill>
            <a:srgbClr val="B3B3B3"/>
          </a:solidFill>
        </a:ln>
      </c:spPr>
    </c:plotArea>
    <c:plotVisOnly val="1"/>
    <c:dispBlanksAs val="span"/>
    <c:showDLblsOverMax val="0"/>
  </c:chart>
  <c:spPr>
    <a:solidFill>
      <a:srgbClr val="FFFFFF"/>
    </a:solidFill>
    <a:ln w="0">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strike="noStrike" spc="-1">
                <a:solidFill>
                  <a:srgbClr val="000000"/>
                </a:solidFill>
                <a:latin typeface="Arial"/>
              </a:defRPr>
            </a:pPr>
            <a:r>
              <a:rPr lang="de-DE" sz="1300" b="0" strike="noStrike" spc="-1">
                <a:solidFill>
                  <a:srgbClr val="000000"/>
                </a:solidFill>
                <a:latin typeface="Arial"/>
              </a:rPr>
              <a:t>Tempertatur T</a:t>
            </a:r>
          </a:p>
        </c:rich>
      </c:tx>
      <c:overlay val="0"/>
      <c:spPr>
        <a:noFill/>
        <a:ln w="0">
          <a:noFill/>
        </a:ln>
      </c:spPr>
    </c:title>
    <c:autoTitleDeleted val="0"/>
    <c:plotArea>
      <c:layout>
        <c:manualLayout>
          <c:layoutTarget val="inner"/>
          <c:xMode val="edge"/>
          <c:yMode val="edge"/>
          <c:x val="9.9450171821305916E-2"/>
          <c:y val="0.18112178654894801"/>
          <c:w val="0.86027491408934709"/>
          <c:h val="0.66995585562191617"/>
        </c:manualLayout>
      </c:layout>
      <c:scatterChart>
        <c:scatterStyle val="lineMarker"/>
        <c:varyColors val="0"/>
        <c:ser>
          <c:idx val="0"/>
          <c:order val="0"/>
          <c:spPr>
            <a:ln w="28800">
              <a:noFill/>
            </a:ln>
          </c:spPr>
          <c:marker>
            <c:symbol val="square"/>
            <c:size val="8"/>
            <c:spPr>
              <a:solidFill>
                <a:srgbClr val="FF0000"/>
              </a:solidFill>
            </c:spPr>
          </c:marker>
          <c:xVal>
            <c:numRef>
              <c:f>'Strömung-Temp-Fouling'!$B$4:$B$4</c:f>
              <c:numCache>
                <c:formatCode>0.#" °C"</c:formatCode>
                <c:ptCount val="1"/>
                <c:pt idx="0">
                  <c:v>12.2</c:v>
                </c:pt>
              </c:numCache>
            </c:numRef>
          </c:xVal>
          <c:yVal>
            <c:numRef>
              <c:f>'Strömung-Temp-Fouling'!$B$10:$B$10</c:f>
              <c:numCache>
                <c:formatCode>General</c:formatCode>
                <c:ptCount val="1"/>
                <c:pt idx="0">
                  <c:v>16</c:v>
                </c:pt>
              </c:numCache>
            </c:numRef>
          </c:yVal>
          <c:smooth val="1"/>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6="http://schemas.microsoft.com/office/drawing/2014/chart" uri="{C3380CC4-5D6E-409C-BE32-E72D297353CC}">
              <c16:uniqueId val="{00000000-5305-45A5-94F5-EE2A8BDD1310}"/>
            </c:ext>
          </c:extLst>
        </c:ser>
        <c:ser>
          <c:idx val="1"/>
          <c:order val="1"/>
          <c:spPr>
            <a:ln w="9000">
              <a:solidFill>
                <a:srgbClr val="FF0000"/>
              </a:solidFill>
              <a:round/>
            </a:ln>
          </c:spPr>
          <c:marker>
            <c:symbol val="none"/>
          </c:marker>
          <c:xVal>
            <c:numRef>
              <c:f>'Strömung-Temp-Fouling'!$J$2:$J$27</c:f>
              <c:numCache>
                <c:formatCode>General</c:formatCode>
                <c:ptCount val="26"/>
                <c:pt idx="0">
                  <c:v>0</c:v>
                </c:pt>
                <c:pt idx="1">
                  <c:v>5</c:v>
                </c:pt>
                <c:pt idx="2">
                  <c:v>10</c:v>
                </c:pt>
                <c:pt idx="3">
                  <c:v>15</c:v>
                </c:pt>
                <c:pt idx="4">
                  <c:v>20</c:v>
                </c:pt>
                <c:pt idx="5">
                  <c:v>25</c:v>
                </c:pt>
                <c:pt idx="6">
                  <c:v>30</c:v>
                </c:pt>
                <c:pt idx="7">
                  <c:v>35</c:v>
                </c:pt>
                <c:pt idx="8">
                  <c:v>40</c:v>
                </c:pt>
                <c:pt idx="9">
                  <c:v>45</c:v>
                </c:pt>
                <c:pt idx="10">
                  <c:v>50</c:v>
                </c:pt>
                <c:pt idx="12">
                  <c:v>55</c:v>
                </c:pt>
                <c:pt idx="13">
                  <c:v>60</c:v>
                </c:pt>
                <c:pt idx="14">
                  <c:v>65</c:v>
                </c:pt>
                <c:pt idx="15">
                  <c:v>70</c:v>
                </c:pt>
                <c:pt idx="16">
                  <c:v>75</c:v>
                </c:pt>
                <c:pt idx="17">
                  <c:v>80</c:v>
                </c:pt>
                <c:pt idx="18">
                  <c:v>90</c:v>
                </c:pt>
                <c:pt idx="19">
                  <c:v>100</c:v>
                </c:pt>
                <c:pt idx="20">
                  <c:v>110</c:v>
                </c:pt>
                <c:pt idx="21">
                  <c:v>120</c:v>
                </c:pt>
                <c:pt idx="22">
                  <c:v>130</c:v>
                </c:pt>
                <c:pt idx="23">
                  <c:v>140</c:v>
                </c:pt>
                <c:pt idx="24">
                  <c:v>150</c:v>
                </c:pt>
                <c:pt idx="25">
                  <c:v>160</c:v>
                </c:pt>
              </c:numCache>
            </c:numRef>
          </c:xVal>
          <c:yVal>
            <c:numRef>
              <c:f>'Strömung-Temp-Fouling'!$P$2:$P$27</c:f>
              <c:numCache>
                <c:formatCode>General</c:formatCode>
                <c:ptCount val="26"/>
                <c:pt idx="0">
                  <c:v>21</c:v>
                </c:pt>
                <c:pt idx="1">
                  <c:v>21</c:v>
                </c:pt>
                <c:pt idx="2">
                  <c:v>21</c:v>
                </c:pt>
                <c:pt idx="3">
                  <c:v>21</c:v>
                </c:pt>
                <c:pt idx="4">
                  <c:v>21</c:v>
                </c:pt>
                <c:pt idx="5">
                  <c:v>21</c:v>
                </c:pt>
                <c:pt idx="6">
                  <c:v>21</c:v>
                </c:pt>
                <c:pt idx="7">
                  <c:v>21</c:v>
                </c:pt>
                <c:pt idx="8">
                  <c:v>21</c:v>
                </c:pt>
                <c:pt idx="9">
                  <c:v>21</c:v>
                </c:pt>
                <c:pt idx="10">
                  <c:v>21</c:v>
                </c:pt>
                <c:pt idx="12">
                  <c:v>21</c:v>
                </c:pt>
                <c:pt idx="13">
                  <c:v>21</c:v>
                </c:pt>
                <c:pt idx="14">
                  <c:v>21</c:v>
                </c:pt>
                <c:pt idx="15">
                  <c:v>21</c:v>
                </c:pt>
                <c:pt idx="16">
                  <c:v>21</c:v>
                </c:pt>
                <c:pt idx="17">
                  <c:v>21</c:v>
                </c:pt>
                <c:pt idx="18">
                  <c:v>21</c:v>
                </c:pt>
                <c:pt idx="19">
                  <c:v>21</c:v>
                </c:pt>
                <c:pt idx="20">
                  <c:v>21</c:v>
                </c:pt>
                <c:pt idx="21">
                  <c:v>21</c:v>
                </c:pt>
                <c:pt idx="22">
                  <c:v>21</c:v>
                </c:pt>
                <c:pt idx="23">
                  <c:v>21</c:v>
                </c:pt>
                <c:pt idx="24">
                  <c:v>21</c:v>
                </c:pt>
                <c:pt idx="25">
                  <c:v>21</c:v>
                </c:pt>
              </c:numCache>
            </c:numRef>
          </c:yVal>
          <c:smooth val="1"/>
          <c:extLst>
            <c:ext xmlns:c16="http://schemas.microsoft.com/office/drawing/2014/chart" uri="{C3380CC4-5D6E-409C-BE32-E72D297353CC}">
              <c16:uniqueId val="{00000001-5305-45A5-94F5-EE2A8BDD1310}"/>
            </c:ext>
          </c:extLst>
        </c:ser>
        <c:ser>
          <c:idx val="2"/>
          <c:order val="2"/>
          <c:spPr>
            <a:ln w="28800">
              <a:solidFill>
                <a:srgbClr val="0000EE"/>
              </a:solidFill>
              <a:round/>
            </a:ln>
          </c:spPr>
          <c:marker>
            <c:symbol val="none"/>
          </c:marker>
          <c:xVal>
            <c:numRef>
              <c:f>'Strömung-Temp-Fouling'!$J$2:$J$27</c:f>
              <c:numCache>
                <c:formatCode>General</c:formatCode>
                <c:ptCount val="26"/>
                <c:pt idx="0">
                  <c:v>0</c:v>
                </c:pt>
                <c:pt idx="1">
                  <c:v>5</c:v>
                </c:pt>
                <c:pt idx="2">
                  <c:v>10</c:v>
                </c:pt>
                <c:pt idx="3">
                  <c:v>15</c:v>
                </c:pt>
                <c:pt idx="4">
                  <c:v>20</c:v>
                </c:pt>
                <c:pt idx="5">
                  <c:v>25</c:v>
                </c:pt>
                <c:pt idx="6">
                  <c:v>30</c:v>
                </c:pt>
                <c:pt idx="7">
                  <c:v>35</c:v>
                </c:pt>
                <c:pt idx="8">
                  <c:v>40</c:v>
                </c:pt>
                <c:pt idx="9">
                  <c:v>45</c:v>
                </c:pt>
                <c:pt idx="10">
                  <c:v>50</c:v>
                </c:pt>
                <c:pt idx="12">
                  <c:v>55</c:v>
                </c:pt>
                <c:pt idx="13">
                  <c:v>60</c:v>
                </c:pt>
                <c:pt idx="14">
                  <c:v>65</c:v>
                </c:pt>
                <c:pt idx="15">
                  <c:v>70</c:v>
                </c:pt>
                <c:pt idx="16">
                  <c:v>75</c:v>
                </c:pt>
                <c:pt idx="17">
                  <c:v>80</c:v>
                </c:pt>
                <c:pt idx="18">
                  <c:v>90</c:v>
                </c:pt>
                <c:pt idx="19">
                  <c:v>100</c:v>
                </c:pt>
                <c:pt idx="20">
                  <c:v>110</c:v>
                </c:pt>
                <c:pt idx="21">
                  <c:v>120</c:v>
                </c:pt>
                <c:pt idx="22">
                  <c:v>130</c:v>
                </c:pt>
                <c:pt idx="23">
                  <c:v>140</c:v>
                </c:pt>
                <c:pt idx="24">
                  <c:v>150</c:v>
                </c:pt>
                <c:pt idx="25">
                  <c:v>160</c:v>
                </c:pt>
              </c:numCache>
            </c:numRef>
          </c:xVal>
          <c:yVal>
            <c:numRef>
              <c:f>'Strömung-Temp-Fouling'!$O$2:$O$27</c:f>
              <c:numCache>
                <c:formatCode>General</c:formatCode>
                <c:ptCount val="26"/>
                <c:pt idx="0">
                  <c:v>15</c:v>
                </c:pt>
                <c:pt idx="1">
                  <c:v>15</c:v>
                </c:pt>
                <c:pt idx="2">
                  <c:v>16</c:v>
                </c:pt>
                <c:pt idx="3">
                  <c:v>17</c:v>
                </c:pt>
                <c:pt idx="4">
                  <c:v>19</c:v>
                </c:pt>
                <c:pt idx="5">
                  <c:v>20</c:v>
                </c:pt>
                <c:pt idx="6">
                  <c:v>20</c:v>
                </c:pt>
                <c:pt idx="7">
                  <c:v>20</c:v>
                </c:pt>
                <c:pt idx="8">
                  <c:v>21</c:v>
                </c:pt>
                <c:pt idx="9">
                  <c:v>21</c:v>
                </c:pt>
                <c:pt idx="10">
                  <c:v>21</c:v>
                </c:pt>
                <c:pt idx="12">
                  <c:v>21</c:v>
                </c:pt>
                <c:pt idx="13">
                  <c:v>20</c:v>
                </c:pt>
                <c:pt idx="14">
                  <c:v>21</c:v>
                </c:pt>
                <c:pt idx="15">
                  <c:v>21</c:v>
                </c:pt>
                <c:pt idx="16">
                  <c:v>20</c:v>
                </c:pt>
                <c:pt idx="17">
                  <c:v>20</c:v>
                </c:pt>
                <c:pt idx="18">
                  <c:v>19</c:v>
                </c:pt>
                <c:pt idx="19">
                  <c:v>20</c:v>
                </c:pt>
                <c:pt idx="20">
                  <c:v>20</c:v>
                </c:pt>
                <c:pt idx="21">
                  <c:v>9</c:v>
                </c:pt>
                <c:pt idx="22">
                  <c:v>9</c:v>
                </c:pt>
                <c:pt idx="23">
                  <c:v>8</c:v>
                </c:pt>
                <c:pt idx="24">
                  <c:v>8</c:v>
                </c:pt>
                <c:pt idx="25">
                  <c:v>7</c:v>
                </c:pt>
              </c:numCache>
            </c:numRef>
          </c:yVal>
          <c:smooth val="1"/>
          <c:extLst>
            <c:ext xmlns:c16="http://schemas.microsoft.com/office/drawing/2014/chart" uri="{C3380CC4-5D6E-409C-BE32-E72D297353CC}">
              <c16:uniqueId val="{00000002-5305-45A5-94F5-EE2A8BDD1310}"/>
            </c:ext>
          </c:extLst>
        </c:ser>
        <c:dLbls>
          <c:showLegendKey val="0"/>
          <c:showVal val="0"/>
          <c:showCatName val="0"/>
          <c:showSerName val="0"/>
          <c:showPercent val="0"/>
          <c:showBubbleSize val="0"/>
        </c:dLbls>
        <c:axId val="88675840"/>
        <c:axId val="88677760"/>
      </c:scatterChart>
      <c:valAx>
        <c:axId val="88675840"/>
        <c:scaling>
          <c:orientation val="minMax"/>
          <c:max val="160"/>
        </c:scaling>
        <c:delete val="0"/>
        <c:axPos val="b"/>
        <c:majorGridlines>
          <c:spPr>
            <a:ln w="0">
              <a:solidFill>
                <a:srgbClr val="B3B3B3"/>
              </a:solidFill>
            </a:ln>
          </c:spPr>
        </c:majorGridlines>
        <c:minorGridlines>
          <c:spPr>
            <a:ln w="0">
              <a:solidFill>
                <a:srgbClr val="DDDDDD"/>
              </a:solidFill>
            </a:ln>
          </c:spPr>
        </c:minorGridlines>
        <c:title>
          <c:tx>
            <c:rich>
              <a:bodyPr rot="0"/>
              <a:lstStyle/>
              <a:p>
                <a:pPr>
                  <a:defRPr sz="900" b="0" strike="noStrike" spc="-1">
                    <a:solidFill>
                      <a:srgbClr val="000000"/>
                    </a:solidFill>
                    <a:latin typeface="Arial"/>
                  </a:defRPr>
                </a:pPr>
                <a:r>
                  <a:rPr lang="de-DE" sz="900" b="0" strike="noStrike" spc="-1">
                    <a:solidFill>
                      <a:srgbClr val="000000"/>
                    </a:solidFill>
                    <a:latin typeface="Arial"/>
                  </a:rPr>
                  <a:t>T in °C</a:t>
                </a:r>
              </a:p>
            </c:rich>
          </c:tx>
          <c:overlay val="0"/>
          <c:spPr>
            <a:noFill/>
            <a:ln w="0">
              <a:noFill/>
            </a:ln>
          </c:spPr>
        </c:title>
        <c:numFmt formatCode="General" sourceLinked="0"/>
        <c:majorTickMark val="cross"/>
        <c:minorTickMark val="cross"/>
        <c:tickLblPos val="nextTo"/>
        <c:spPr>
          <a:ln w="0">
            <a:solidFill>
              <a:srgbClr val="B3B3B3"/>
            </a:solidFill>
          </a:ln>
        </c:spPr>
        <c:txPr>
          <a:bodyPr/>
          <a:lstStyle/>
          <a:p>
            <a:pPr>
              <a:defRPr sz="1000" b="0" strike="noStrike" spc="-1">
                <a:solidFill>
                  <a:srgbClr val="000000"/>
                </a:solidFill>
                <a:latin typeface="Arial"/>
              </a:defRPr>
            </a:pPr>
            <a:endParaRPr lang="de-DE"/>
          </a:p>
        </c:txPr>
        <c:crossAx val="88677760"/>
        <c:crosses val="autoZero"/>
        <c:crossBetween val="midCat"/>
      </c:valAx>
      <c:valAx>
        <c:axId val="88677760"/>
        <c:scaling>
          <c:orientation val="minMax"/>
        </c:scaling>
        <c:delete val="0"/>
        <c:axPos val="l"/>
        <c:majorGridlines>
          <c:spPr>
            <a:ln w="0">
              <a:solidFill>
                <a:srgbClr val="B3B3B3"/>
              </a:solidFill>
            </a:ln>
          </c:spPr>
        </c:majorGridlines>
        <c:title>
          <c:tx>
            <c:rich>
              <a:bodyPr rot="-5400000"/>
              <a:lstStyle/>
              <a:p>
                <a:pPr>
                  <a:defRPr sz="900" b="0" strike="noStrike" spc="-1">
                    <a:solidFill>
                      <a:srgbClr val="000000"/>
                    </a:solidFill>
                    <a:latin typeface="Arial"/>
                  </a:defRPr>
                </a:pPr>
                <a:r>
                  <a:rPr lang="de-DE" sz="900" b="0" strike="noStrike" spc="-1">
                    <a:solidFill>
                      <a:srgbClr val="000000"/>
                    </a:solidFill>
                    <a:latin typeface="Arial"/>
                  </a:rPr>
                  <a:t>Fouling</a:t>
                </a:r>
              </a:p>
            </c:rich>
          </c:tx>
          <c:overlay val="0"/>
          <c:spPr>
            <a:noFill/>
            <a:ln w="0">
              <a:noFill/>
            </a:ln>
          </c:spPr>
        </c:title>
        <c:numFmt formatCode="General" sourceLinked="0"/>
        <c:majorTickMark val="cross"/>
        <c:minorTickMark val="cross"/>
        <c:tickLblPos val="nextTo"/>
        <c:spPr>
          <a:ln w="0">
            <a:solidFill>
              <a:srgbClr val="B3B3B3"/>
            </a:solidFill>
          </a:ln>
        </c:spPr>
        <c:txPr>
          <a:bodyPr/>
          <a:lstStyle/>
          <a:p>
            <a:pPr>
              <a:defRPr sz="1000" b="0" strike="noStrike" spc="-1">
                <a:solidFill>
                  <a:srgbClr val="000000"/>
                </a:solidFill>
                <a:latin typeface="Arial"/>
              </a:defRPr>
            </a:pPr>
            <a:endParaRPr lang="de-DE"/>
          </a:p>
        </c:txPr>
        <c:crossAx val="88675840"/>
        <c:crosses val="autoZero"/>
        <c:crossBetween val="midCat"/>
      </c:valAx>
      <c:spPr>
        <a:noFill/>
        <a:ln w="0">
          <a:solidFill>
            <a:srgbClr val="B3B3B3"/>
          </a:solidFill>
        </a:ln>
      </c:spPr>
    </c:plotArea>
    <c:plotVisOnly val="1"/>
    <c:dispBlanksAs val="span"/>
    <c:showDLblsOverMax val="0"/>
  </c:chart>
  <c:spPr>
    <a:solidFill>
      <a:srgbClr val="FFFFFF"/>
    </a:solidFill>
    <a:ln w="0">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111043964345112E-2"/>
          <c:y val="5.5895039539899403E-2"/>
          <c:w val="0.7415923855567309"/>
          <c:h val="0.80607476635514008"/>
        </c:manualLayout>
      </c:layout>
      <c:scatterChart>
        <c:scatterStyle val="lineMarker"/>
        <c:varyColors val="0"/>
        <c:ser>
          <c:idx val="0"/>
          <c:order val="0"/>
          <c:tx>
            <c:strRef>
              <c:f>Bakterien!$E$1:$E$1</c:f>
              <c:strCache>
                <c:ptCount val="1"/>
                <c:pt idx="0">
                  <c:v>Lepthotrix sp.</c:v>
                </c:pt>
              </c:strCache>
            </c:strRef>
          </c:tx>
          <c:spPr>
            <a:ln w="28800">
              <a:solidFill>
                <a:srgbClr val="004586"/>
              </a:solidFill>
              <a:round/>
            </a:ln>
          </c:spPr>
          <c:marker>
            <c:symbol val="none"/>
          </c:marker>
          <c:xVal>
            <c:numRef>
              <c:f>Bakterien!$D$2:$D$52</c:f>
              <c:numCache>
                <c:formatCode>General</c:formatCode>
                <c:ptCount val="51"/>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pt idx="16">
                  <c:v>32</c:v>
                </c:pt>
                <c:pt idx="17">
                  <c:v>34</c:v>
                </c:pt>
                <c:pt idx="18">
                  <c:v>36</c:v>
                </c:pt>
                <c:pt idx="19">
                  <c:v>38</c:v>
                </c:pt>
                <c:pt idx="20">
                  <c:v>40</c:v>
                </c:pt>
                <c:pt idx="21">
                  <c:v>42</c:v>
                </c:pt>
                <c:pt idx="22">
                  <c:v>44</c:v>
                </c:pt>
                <c:pt idx="23">
                  <c:v>46</c:v>
                </c:pt>
                <c:pt idx="24">
                  <c:v>48</c:v>
                </c:pt>
                <c:pt idx="25">
                  <c:v>50</c:v>
                </c:pt>
                <c:pt idx="26">
                  <c:v>52</c:v>
                </c:pt>
                <c:pt idx="27">
                  <c:v>54</c:v>
                </c:pt>
                <c:pt idx="28">
                  <c:v>56</c:v>
                </c:pt>
                <c:pt idx="29">
                  <c:v>58</c:v>
                </c:pt>
                <c:pt idx="30">
                  <c:v>60</c:v>
                </c:pt>
                <c:pt idx="31">
                  <c:v>62</c:v>
                </c:pt>
                <c:pt idx="32">
                  <c:v>64</c:v>
                </c:pt>
                <c:pt idx="33">
                  <c:v>66</c:v>
                </c:pt>
                <c:pt idx="34">
                  <c:v>68</c:v>
                </c:pt>
                <c:pt idx="35">
                  <c:v>70</c:v>
                </c:pt>
                <c:pt idx="36">
                  <c:v>72</c:v>
                </c:pt>
                <c:pt idx="37">
                  <c:v>74</c:v>
                </c:pt>
                <c:pt idx="38">
                  <c:v>76</c:v>
                </c:pt>
                <c:pt idx="39">
                  <c:v>78</c:v>
                </c:pt>
                <c:pt idx="40">
                  <c:v>80</c:v>
                </c:pt>
                <c:pt idx="41">
                  <c:v>82</c:v>
                </c:pt>
                <c:pt idx="42">
                  <c:v>84</c:v>
                </c:pt>
                <c:pt idx="43">
                  <c:v>86</c:v>
                </c:pt>
                <c:pt idx="44">
                  <c:v>88</c:v>
                </c:pt>
                <c:pt idx="45">
                  <c:v>90</c:v>
                </c:pt>
                <c:pt idx="46">
                  <c:v>92</c:v>
                </c:pt>
                <c:pt idx="47">
                  <c:v>94</c:v>
                </c:pt>
                <c:pt idx="48">
                  <c:v>96</c:v>
                </c:pt>
                <c:pt idx="49">
                  <c:v>98</c:v>
                </c:pt>
                <c:pt idx="50">
                  <c:v>100</c:v>
                </c:pt>
              </c:numCache>
            </c:numRef>
          </c:xVal>
          <c:yVal>
            <c:numRef>
              <c:f>Bakterien!$E$2:$E$52</c:f>
              <c:numCache>
                <c:formatCode>General</c:formatCode>
                <c:ptCount val="51"/>
                <c:pt idx="0">
                  <c:v>1</c:v>
                </c:pt>
                <c:pt idx="1">
                  <c:v>2</c:v>
                </c:pt>
                <c:pt idx="2">
                  <c:v>3</c:v>
                </c:pt>
                <c:pt idx="3">
                  <c:v>3</c:v>
                </c:pt>
                <c:pt idx="4">
                  <c:v>4</c:v>
                </c:pt>
                <c:pt idx="5">
                  <c:v>4</c:v>
                </c:pt>
                <c:pt idx="6">
                  <c:v>4</c:v>
                </c:pt>
                <c:pt idx="7">
                  <c:v>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0-CA04-4578-8491-CF3E32D8B29C}"/>
            </c:ext>
          </c:extLst>
        </c:ser>
        <c:ser>
          <c:idx val="1"/>
          <c:order val="1"/>
          <c:tx>
            <c:strRef>
              <c:f>Bakterien!$F$1:$F$1</c:f>
              <c:strCache>
                <c:ptCount val="1"/>
                <c:pt idx="0">
                  <c:v>Pseudomonas sp.</c:v>
                </c:pt>
              </c:strCache>
            </c:strRef>
          </c:tx>
          <c:spPr>
            <a:ln w="28800">
              <a:solidFill>
                <a:srgbClr val="FF420E"/>
              </a:solidFill>
              <a:round/>
            </a:ln>
          </c:spPr>
          <c:marker>
            <c:symbol val="none"/>
          </c:marker>
          <c:xVal>
            <c:numRef>
              <c:f>Bakterien!$D$2:$D$52</c:f>
              <c:numCache>
                <c:formatCode>General</c:formatCode>
                <c:ptCount val="51"/>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pt idx="16">
                  <c:v>32</c:v>
                </c:pt>
                <c:pt idx="17">
                  <c:v>34</c:v>
                </c:pt>
                <c:pt idx="18">
                  <c:v>36</c:v>
                </c:pt>
                <c:pt idx="19">
                  <c:v>38</c:v>
                </c:pt>
                <c:pt idx="20">
                  <c:v>40</c:v>
                </c:pt>
                <c:pt idx="21">
                  <c:v>42</c:v>
                </c:pt>
                <c:pt idx="22">
                  <c:v>44</c:v>
                </c:pt>
                <c:pt idx="23">
                  <c:v>46</c:v>
                </c:pt>
                <c:pt idx="24">
                  <c:v>48</c:v>
                </c:pt>
                <c:pt idx="25">
                  <c:v>50</c:v>
                </c:pt>
                <c:pt idx="26">
                  <c:v>52</c:v>
                </c:pt>
                <c:pt idx="27">
                  <c:v>54</c:v>
                </c:pt>
                <c:pt idx="28">
                  <c:v>56</c:v>
                </c:pt>
                <c:pt idx="29">
                  <c:v>58</c:v>
                </c:pt>
                <c:pt idx="30">
                  <c:v>60</c:v>
                </c:pt>
                <c:pt idx="31">
                  <c:v>62</c:v>
                </c:pt>
                <c:pt idx="32">
                  <c:v>64</c:v>
                </c:pt>
                <c:pt idx="33">
                  <c:v>66</c:v>
                </c:pt>
                <c:pt idx="34">
                  <c:v>68</c:v>
                </c:pt>
                <c:pt idx="35">
                  <c:v>70</c:v>
                </c:pt>
                <c:pt idx="36">
                  <c:v>72</c:v>
                </c:pt>
                <c:pt idx="37">
                  <c:v>74</c:v>
                </c:pt>
                <c:pt idx="38">
                  <c:v>76</c:v>
                </c:pt>
                <c:pt idx="39">
                  <c:v>78</c:v>
                </c:pt>
                <c:pt idx="40">
                  <c:v>80</c:v>
                </c:pt>
                <c:pt idx="41">
                  <c:v>82</c:v>
                </c:pt>
                <c:pt idx="42">
                  <c:v>84</c:v>
                </c:pt>
                <c:pt idx="43">
                  <c:v>86</c:v>
                </c:pt>
                <c:pt idx="44">
                  <c:v>88</c:v>
                </c:pt>
                <c:pt idx="45">
                  <c:v>90</c:v>
                </c:pt>
                <c:pt idx="46">
                  <c:v>92</c:v>
                </c:pt>
                <c:pt idx="47">
                  <c:v>94</c:v>
                </c:pt>
                <c:pt idx="48">
                  <c:v>96</c:v>
                </c:pt>
                <c:pt idx="49">
                  <c:v>98</c:v>
                </c:pt>
                <c:pt idx="50">
                  <c:v>100</c:v>
                </c:pt>
              </c:numCache>
            </c:numRef>
          </c:xVal>
          <c:yVal>
            <c:numRef>
              <c:f>Bakterien!$F$2:$F$52</c:f>
              <c:numCache>
                <c:formatCode>General</c:formatCode>
                <c:ptCount val="51"/>
                <c:pt idx="0">
                  <c:v>0</c:v>
                </c:pt>
                <c:pt idx="1">
                  <c:v>0</c:v>
                </c:pt>
                <c:pt idx="2">
                  <c:v>0</c:v>
                </c:pt>
                <c:pt idx="3">
                  <c:v>0</c:v>
                </c:pt>
                <c:pt idx="4">
                  <c:v>0</c:v>
                </c:pt>
                <c:pt idx="5">
                  <c:v>0</c:v>
                </c:pt>
                <c:pt idx="6">
                  <c:v>0</c:v>
                </c:pt>
                <c:pt idx="7">
                  <c:v>0</c:v>
                </c:pt>
                <c:pt idx="8">
                  <c:v>5</c:v>
                </c:pt>
                <c:pt idx="9">
                  <c:v>7</c:v>
                </c:pt>
                <c:pt idx="10">
                  <c:v>8</c:v>
                </c:pt>
                <c:pt idx="11">
                  <c:v>9</c:v>
                </c:pt>
                <c:pt idx="12">
                  <c:v>9</c:v>
                </c:pt>
                <c:pt idx="13">
                  <c:v>10</c:v>
                </c:pt>
                <c:pt idx="14">
                  <c:v>10</c:v>
                </c:pt>
                <c:pt idx="15">
                  <c:v>8</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1-CA04-4578-8491-CF3E32D8B29C}"/>
            </c:ext>
          </c:extLst>
        </c:ser>
        <c:ser>
          <c:idx val="2"/>
          <c:order val="2"/>
          <c:tx>
            <c:strRef>
              <c:f>Bakterien!$G$1:$G$1</c:f>
              <c:strCache>
                <c:ptCount val="1"/>
                <c:pt idx="0">
                  <c:v>Thermoactinomyces sp.</c:v>
                </c:pt>
              </c:strCache>
            </c:strRef>
          </c:tx>
          <c:spPr>
            <a:ln w="28800">
              <a:solidFill>
                <a:srgbClr val="FFD320"/>
              </a:solidFill>
              <a:round/>
            </a:ln>
          </c:spPr>
          <c:marker>
            <c:symbol val="none"/>
          </c:marker>
          <c:xVal>
            <c:numRef>
              <c:f>Bakterien!$D$2:$D$52</c:f>
              <c:numCache>
                <c:formatCode>General</c:formatCode>
                <c:ptCount val="51"/>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pt idx="16">
                  <c:v>32</c:v>
                </c:pt>
                <c:pt idx="17">
                  <c:v>34</c:v>
                </c:pt>
                <c:pt idx="18">
                  <c:v>36</c:v>
                </c:pt>
                <c:pt idx="19">
                  <c:v>38</c:v>
                </c:pt>
                <c:pt idx="20">
                  <c:v>40</c:v>
                </c:pt>
                <c:pt idx="21">
                  <c:v>42</c:v>
                </c:pt>
                <c:pt idx="22">
                  <c:v>44</c:v>
                </c:pt>
                <c:pt idx="23">
                  <c:v>46</c:v>
                </c:pt>
                <c:pt idx="24">
                  <c:v>48</c:v>
                </c:pt>
                <c:pt idx="25">
                  <c:v>50</c:v>
                </c:pt>
                <c:pt idx="26">
                  <c:v>52</c:v>
                </c:pt>
                <c:pt idx="27">
                  <c:v>54</c:v>
                </c:pt>
                <c:pt idx="28">
                  <c:v>56</c:v>
                </c:pt>
                <c:pt idx="29">
                  <c:v>58</c:v>
                </c:pt>
                <c:pt idx="30">
                  <c:v>60</c:v>
                </c:pt>
                <c:pt idx="31">
                  <c:v>62</c:v>
                </c:pt>
                <c:pt idx="32">
                  <c:v>64</c:v>
                </c:pt>
                <c:pt idx="33">
                  <c:v>66</c:v>
                </c:pt>
                <c:pt idx="34">
                  <c:v>68</c:v>
                </c:pt>
                <c:pt idx="35">
                  <c:v>70</c:v>
                </c:pt>
                <c:pt idx="36">
                  <c:v>72</c:v>
                </c:pt>
                <c:pt idx="37">
                  <c:v>74</c:v>
                </c:pt>
                <c:pt idx="38">
                  <c:v>76</c:v>
                </c:pt>
                <c:pt idx="39">
                  <c:v>78</c:v>
                </c:pt>
                <c:pt idx="40">
                  <c:v>80</c:v>
                </c:pt>
                <c:pt idx="41">
                  <c:v>82</c:v>
                </c:pt>
                <c:pt idx="42">
                  <c:v>84</c:v>
                </c:pt>
                <c:pt idx="43">
                  <c:v>86</c:v>
                </c:pt>
                <c:pt idx="44">
                  <c:v>88</c:v>
                </c:pt>
                <c:pt idx="45">
                  <c:v>90</c:v>
                </c:pt>
                <c:pt idx="46">
                  <c:v>92</c:v>
                </c:pt>
                <c:pt idx="47">
                  <c:v>94</c:v>
                </c:pt>
                <c:pt idx="48">
                  <c:v>96</c:v>
                </c:pt>
                <c:pt idx="49">
                  <c:v>98</c:v>
                </c:pt>
                <c:pt idx="50">
                  <c:v>100</c:v>
                </c:pt>
              </c:numCache>
            </c:numRef>
          </c:xVal>
          <c:yVal>
            <c:numRef>
              <c:f>Bakterien!$G$2:$G$52</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4</c:v>
                </c:pt>
                <c:pt idx="23">
                  <c:v>4</c:v>
                </c:pt>
                <c:pt idx="24">
                  <c:v>5</c:v>
                </c:pt>
                <c:pt idx="25">
                  <c:v>6</c:v>
                </c:pt>
                <c:pt idx="26">
                  <c:v>6</c:v>
                </c:pt>
                <c:pt idx="27">
                  <c:v>7</c:v>
                </c:pt>
                <c:pt idx="28">
                  <c:v>7</c:v>
                </c:pt>
                <c:pt idx="29">
                  <c:v>7</c:v>
                </c:pt>
                <c:pt idx="30">
                  <c:v>4</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2-CA04-4578-8491-CF3E32D8B29C}"/>
            </c:ext>
          </c:extLst>
        </c:ser>
        <c:ser>
          <c:idx val="3"/>
          <c:order val="3"/>
          <c:tx>
            <c:strRef>
              <c:f>Bakterien!$H$1:$H$1</c:f>
              <c:strCache>
                <c:ptCount val="1"/>
                <c:pt idx="0">
                  <c:v>Thermococcus sp.</c:v>
                </c:pt>
              </c:strCache>
            </c:strRef>
          </c:tx>
          <c:spPr>
            <a:ln w="28800">
              <a:solidFill>
                <a:srgbClr val="579D1C"/>
              </a:solidFill>
              <a:round/>
            </a:ln>
          </c:spPr>
          <c:marker>
            <c:symbol val="none"/>
          </c:marker>
          <c:xVal>
            <c:numRef>
              <c:f>Bakterien!$D$2:$D$52</c:f>
              <c:numCache>
                <c:formatCode>General</c:formatCode>
                <c:ptCount val="51"/>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pt idx="16">
                  <c:v>32</c:v>
                </c:pt>
                <c:pt idx="17">
                  <c:v>34</c:v>
                </c:pt>
                <c:pt idx="18">
                  <c:v>36</c:v>
                </c:pt>
                <c:pt idx="19">
                  <c:v>38</c:v>
                </c:pt>
                <c:pt idx="20">
                  <c:v>40</c:v>
                </c:pt>
                <c:pt idx="21">
                  <c:v>42</c:v>
                </c:pt>
                <c:pt idx="22">
                  <c:v>44</c:v>
                </c:pt>
                <c:pt idx="23">
                  <c:v>46</c:v>
                </c:pt>
                <c:pt idx="24">
                  <c:v>48</c:v>
                </c:pt>
                <c:pt idx="25">
                  <c:v>50</c:v>
                </c:pt>
                <c:pt idx="26">
                  <c:v>52</c:v>
                </c:pt>
                <c:pt idx="27">
                  <c:v>54</c:v>
                </c:pt>
                <c:pt idx="28">
                  <c:v>56</c:v>
                </c:pt>
                <c:pt idx="29">
                  <c:v>58</c:v>
                </c:pt>
                <c:pt idx="30">
                  <c:v>60</c:v>
                </c:pt>
                <c:pt idx="31">
                  <c:v>62</c:v>
                </c:pt>
                <c:pt idx="32">
                  <c:v>64</c:v>
                </c:pt>
                <c:pt idx="33">
                  <c:v>66</c:v>
                </c:pt>
                <c:pt idx="34">
                  <c:v>68</c:v>
                </c:pt>
                <c:pt idx="35">
                  <c:v>70</c:v>
                </c:pt>
                <c:pt idx="36">
                  <c:v>72</c:v>
                </c:pt>
                <c:pt idx="37">
                  <c:v>74</c:v>
                </c:pt>
                <c:pt idx="38">
                  <c:v>76</c:v>
                </c:pt>
                <c:pt idx="39">
                  <c:v>78</c:v>
                </c:pt>
                <c:pt idx="40">
                  <c:v>80</c:v>
                </c:pt>
                <c:pt idx="41">
                  <c:v>82</c:v>
                </c:pt>
                <c:pt idx="42">
                  <c:v>84</c:v>
                </c:pt>
                <c:pt idx="43">
                  <c:v>86</c:v>
                </c:pt>
                <c:pt idx="44">
                  <c:v>88</c:v>
                </c:pt>
                <c:pt idx="45">
                  <c:v>90</c:v>
                </c:pt>
                <c:pt idx="46">
                  <c:v>92</c:v>
                </c:pt>
                <c:pt idx="47">
                  <c:v>94</c:v>
                </c:pt>
                <c:pt idx="48">
                  <c:v>96</c:v>
                </c:pt>
                <c:pt idx="49">
                  <c:v>98</c:v>
                </c:pt>
                <c:pt idx="50">
                  <c:v>100</c:v>
                </c:pt>
              </c:numCache>
            </c:numRef>
          </c:xVal>
          <c:yVal>
            <c:numRef>
              <c:f>Bakterien!$H$2:$H$52</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4</c:v>
                </c:pt>
                <c:pt idx="38">
                  <c:v>6</c:v>
                </c:pt>
                <c:pt idx="39">
                  <c:v>7</c:v>
                </c:pt>
                <c:pt idx="40">
                  <c:v>7</c:v>
                </c:pt>
                <c:pt idx="41">
                  <c:v>0</c:v>
                </c:pt>
                <c:pt idx="42">
                  <c:v>0</c:v>
                </c:pt>
                <c:pt idx="43">
                  <c:v>0</c:v>
                </c:pt>
                <c:pt idx="44">
                  <c:v>0</c:v>
                </c:pt>
                <c:pt idx="45">
                  <c:v>0</c:v>
                </c:pt>
                <c:pt idx="46">
                  <c:v>0</c:v>
                </c:pt>
                <c:pt idx="47">
                  <c:v>0</c:v>
                </c:pt>
                <c:pt idx="48">
                  <c:v>0</c:v>
                </c:pt>
                <c:pt idx="49">
                  <c:v>0</c:v>
                </c:pt>
                <c:pt idx="50">
                  <c:v>0</c:v>
                </c:pt>
              </c:numCache>
            </c:numRef>
          </c:yVal>
          <c:smooth val="1"/>
          <c:extLst>
            <c:ext xmlns:c16="http://schemas.microsoft.com/office/drawing/2014/chart" uri="{C3380CC4-5D6E-409C-BE32-E72D297353CC}">
              <c16:uniqueId val="{00000003-CA04-4578-8491-CF3E32D8B29C}"/>
            </c:ext>
          </c:extLst>
        </c:ser>
        <c:ser>
          <c:idx val="4"/>
          <c:order val="4"/>
          <c:tx>
            <c:strRef>
              <c:f>Bakterien!$I$1:$I$1</c:f>
              <c:strCache>
                <c:ptCount val="1"/>
                <c:pt idx="0">
                  <c:v>Pyrodictium sp.</c:v>
                </c:pt>
              </c:strCache>
            </c:strRef>
          </c:tx>
          <c:spPr>
            <a:ln w="28800">
              <a:solidFill>
                <a:srgbClr val="7E0021"/>
              </a:solidFill>
              <a:round/>
            </a:ln>
          </c:spPr>
          <c:marker>
            <c:symbol val="none"/>
          </c:marker>
          <c:xVal>
            <c:numRef>
              <c:f>Bakterien!$D$2:$D$52</c:f>
              <c:numCache>
                <c:formatCode>General</c:formatCode>
                <c:ptCount val="51"/>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pt idx="16">
                  <c:v>32</c:v>
                </c:pt>
                <c:pt idx="17">
                  <c:v>34</c:v>
                </c:pt>
                <c:pt idx="18">
                  <c:v>36</c:v>
                </c:pt>
                <c:pt idx="19">
                  <c:v>38</c:v>
                </c:pt>
                <c:pt idx="20">
                  <c:v>40</c:v>
                </c:pt>
                <c:pt idx="21">
                  <c:v>42</c:v>
                </c:pt>
                <c:pt idx="22">
                  <c:v>44</c:v>
                </c:pt>
                <c:pt idx="23">
                  <c:v>46</c:v>
                </c:pt>
                <c:pt idx="24">
                  <c:v>48</c:v>
                </c:pt>
                <c:pt idx="25">
                  <c:v>50</c:v>
                </c:pt>
                <c:pt idx="26">
                  <c:v>52</c:v>
                </c:pt>
                <c:pt idx="27">
                  <c:v>54</c:v>
                </c:pt>
                <c:pt idx="28">
                  <c:v>56</c:v>
                </c:pt>
                <c:pt idx="29">
                  <c:v>58</c:v>
                </c:pt>
                <c:pt idx="30">
                  <c:v>60</c:v>
                </c:pt>
                <c:pt idx="31">
                  <c:v>62</c:v>
                </c:pt>
                <c:pt idx="32">
                  <c:v>64</c:v>
                </c:pt>
                <c:pt idx="33">
                  <c:v>66</c:v>
                </c:pt>
                <c:pt idx="34">
                  <c:v>68</c:v>
                </c:pt>
                <c:pt idx="35">
                  <c:v>70</c:v>
                </c:pt>
                <c:pt idx="36">
                  <c:v>72</c:v>
                </c:pt>
                <c:pt idx="37">
                  <c:v>74</c:v>
                </c:pt>
                <c:pt idx="38">
                  <c:v>76</c:v>
                </c:pt>
                <c:pt idx="39">
                  <c:v>78</c:v>
                </c:pt>
                <c:pt idx="40">
                  <c:v>80</c:v>
                </c:pt>
                <c:pt idx="41">
                  <c:v>82</c:v>
                </c:pt>
                <c:pt idx="42">
                  <c:v>84</c:v>
                </c:pt>
                <c:pt idx="43">
                  <c:v>86</c:v>
                </c:pt>
                <c:pt idx="44">
                  <c:v>88</c:v>
                </c:pt>
                <c:pt idx="45">
                  <c:v>90</c:v>
                </c:pt>
                <c:pt idx="46">
                  <c:v>92</c:v>
                </c:pt>
                <c:pt idx="47">
                  <c:v>94</c:v>
                </c:pt>
                <c:pt idx="48">
                  <c:v>96</c:v>
                </c:pt>
                <c:pt idx="49">
                  <c:v>98</c:v>
                </c:pt>
                <c:pt idx="50">
                  <c:v>100</c:v>
                </c:pt>
              </c:numCache>
            </c:numRef>
          </c:xVal>
          <c:yVal>
            <c:numRef>
              <c:f>Bakterien!$I$2:$I$52</c:f>
              <c:numCache>
                <c:formatCode>General</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2</c:v>
                </c:pt>
                <c:pt idx="46">
                  <c:v>3</c:v>
                </c:pt>
                <c:pt idx="47">
                  <c:v>3</c:v>
                </c:pt>
                <c:pt idx="48">
                  <c:v>3</c:v>
                </c:pt>
                <c:pt idx="49">
                  <c:v>4</c:v>
                </c:pt>
                <c:pt idx="50">
                  <c:v>0</c:v>
                </c:pt>
              </c:numCache>
            </c:numRef>
          </c:yVal>
          <c:smooth val="1"/>
          <c:extLst>
            <c:ext xmlns:c16="http://schemas.microsoft.com/office/drawing/2014/chart" uri="{C3380CC4-5D6E-409C-BE32-E72D297353CC}">
              <c16:uniqueId val="{00000004-CA04-4578-8491-CF3E32D8B29C}"/>
            </c:ext>
          </c:extLst>
        </c:ser>
        <c:dLbls>
          <c:showLegendKey val="0"/>
          <c:showVal val="0"/>
          <c:showCatName val="0"/>
          <c:showSerName val="0"/>
          <c:showPercent val="0"/>
          <c:showBubbleSize val="0"/>
        </c:dLbls>
        <c:axId val="89073536"/>
        <c:axId val="89075072"/>
      </c:scatterChart>
      <c:valAx>
        <c:axId val="89073536"/>
        <c:scaling>
          <c:orientation val="minMax"/>
          <c:max val="100"/>
          <c:min val="0"/>
        </c:scaling>
        <c:delete val="0"/>
        <c:axPos val="b"/>
        <c:majorGridlines>
          <c:spPr>
            <a:ln w="0">
              <a:solidFill>
                <a:srgbClr val="000000"/>
              </a:solidFill>
            </a:ln>
          </c:spPr>
        </c:majorGridlines>
        <c:minorGridlines>
          <c:spPr>
            <a:ln w="0">
              <a:solidFill>
                <a:srgbClr val="B3B3B3"/>
              </a:solidFill>
            </a:ln>
          </c:spPr>
        </c:minorGridlines>
        <c:numFmt formatCode="General" sourceLinked="0"/>
        <c:majorTickMark val="cross"/>
        <c:minorTickMark val="cross"/>
        <c:tickLblPos val="nextTo"/>
        <c:spPr>
          <a:ln w="0">
            <a:solidFill>
              <a:srgbClr val="000000"/>
            </a:solidFill>
          </a:ln>
        </c:spPr>
        <c:txPr>
          <a:bodyPr/>
          <a:lstStyle/>
          <a:p>
            <a:pPr>
              <a:defRPr sz="1000" b="0" strike="noStrike" spc="-1">
                <a:solidFill>
                  <a:srgbClr val="000000"/>
                </a:solidFill>
                <a:latin typeface="Arial"/>
              </a:defRPr>
            </a:pPr>
            <a:endParaRPr lang="de-DE"/>
          </a:p>
        </c:txPr>
        <c:crossAx val="89075072"/>
        <c:crosses val="autoZero"/>
        <c:crossBetween val="midCat"/>
      </c:valAx>
      <c:valAx>
        <c:axId val="89075072"/>
        <c:scaling>
          <c:orientation val="minMax"/>
          <c:max val="10"/>
          <c:min val="0"/>
        </c:scaling>
        <c:delete val="0"/>
        <c:axPos val="l"/>
        <c:majorGridlines>
          <c:spPr>
            <a:ln w="0">
              <a:solidFill>
                <a:srgbClr val="000000"/>
              </a:solidFill>
            </a:ln>
          </c:spPr>
        </c:majorGridlines>
        <c:numFmt formatCode="General" sourceLinked="0"/>
        <c:majorTickMark val="cross"/>
        <c:minorTickMark val="cross"/>
        <c:tickLblPos val="nextTo"/>
        <c:spPr>
          <a:ln w="0">
            <a:solidFill>
              <a:srgbClr val="000000"/>
            </a:solidFill>
          </a:ln>
        </c:spPr>
        <c:txPr>
          <a:bodyPr/>
          <a:lstStyle/>
          <a:p>
            <a:pPr>
              <a:defRPr sz="1000" b="0" strike="noStrike" spc="-1">
                <a:solidFill>
                  <a:srgbClr val="000000"/>
                </a:solidFill>
                <a:latin typeface="Arial"/>
              </a:defRPr>
            </a:pPr>
            <a:endParaRPr lang="de-DE"/>
          </a:p>
        </c:txPr>
        <c:crossAx val="89073536"/>
        <c:crosses val="autoZero"/>
        <c:crossBetween val="midCat"/>
      </c:valAx>
      <c:spPr>
        <a:noFill/>
        <a:ln w="0">
          <a:solidFill>
            <a:srgbClr val="000000"/>
          </a:solidFill>
        </a:ln>
      </c:spPr>
    </c:plotArea>
    <c:legend>
      <c:legendPos val="r"/>
      <c:overlay val="0"/>
      <c:spPr>
        <a:noFill/>
        <a:ln w="0">
          <a:noFill/>
        </a:ln>
      </c:spPr>
      <c:txPr>
        <a:bodyPr/>
        <a:lstStyle/>
        <a:p>
          <a:pPr>
            <a:defRPr sz="1000" b="0" strike="noStrike" spc="-1">
              <a:solidFill>
                <a:srgbClr val="000000"/>
              </a:solidFill>
              <a:latin typeface="Arial"/>
            </a:defRPr>
          </a:pPr>
          <a:endParaRPr lang="de-DE"/>
        </a:p>
      </c:txPr>
    </c:legend>
    <c:plotVisOnly val="1"/>
    <c:dispBlanksAs val="span"/>
    <c:showDLblsOverMax val="0"/>
  </c:chart>
  <c:spPr>
    <a:noFill/>
    <a:ln w="0">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446132355508995E-2"/>
          <c:y val="4.1763042919558013E-2"/>
          <c:w val="0.51929456958267894"/>
          <c:h val="0.86417373425854516"/>
        </c:manualLayout>
      </c:layout>
      <c:scatterChart>
        <c:scatterStyle val="lineMarker"/>
        <c:varyColors val="0"/>
        <c:ser>
          <c:idx val="0"/>
          <c:order val="0"/>
          <c:tx>
            <c:strRef>
              <c:f>Fauna!$E$1:$E$1</c:f>
              <c:strCache>
                <c:ptCount val="1"/>
                <c:pt idx="0">
                  <c:v>eur. Oberfl.</c:v>
                </c:pt>
              </c:strCache>
            </c:strRef>
          </c:tx>
          <c:spPr>
            <a:ln w="28800">
              <a:solidFill>
                <a:srgbClr val="004586"/>
              </a:solidFill>
              <a:round/>
            </a:ln>
          </c:spPr>
          <c:marker>
            <c:symbol val="none"/>
          </c:marker>
          <c:xVal>
            <c:numRef>
              <c:f>Fauna!$D$2:$D$17</c:f>
              <c:numCache>
                <c:formatCode>General</c:formatCode>
                <c:ptCount val="16"/>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numCache>
            </c:numRef>
          </c:xVal>
          <c:yVal>
            <c:numRef>
              <c:f>Fauna!$E$2:$E$17</c:f>
              <c:numCache>
                <c:formatCode>General</c:formatCode>
                <c:ptCount val="16"/>
                <c:pt idx="0">
                  <c:v>0</c:v>
                </c:pt>
                <c:pt idx="1">
                  <c:v>0</c:v>
                </c:pt>
                <c:pt idx="2">
                  <c:v>3</c:v>
                </c:pt>
                <c:pt idx="3">
                  <c:v>6</c:v>
                </c:pt>
                <c:pt idx="4">
                  <c:v>8</c:v>
                </c:pt>
                <c:pt idx="5">
                  <c:v>9</c:v>
                </c:pt>
                <c:pt idx="6">
                  <c:v>10</c:v>
                </c:pt>
                <c:pt idx="7">
                  <c:v>10</c:v>
                </c:pt>
                <c:pt idx="8">
                  <c:v>10</c:v>
                </c:pt>
                <c:pt idx="9">
                  <c:v>10</c:v>
                </c:pt>
                <c:pt idx="10">
                  <c:v>10</c:v>
                </c:pt>
                <c:pt idx="11">
                  <c:v>10</c:v>
                </c:pt>
                <c:pt idx="12">
                  <c:v>9</c:v>
                </c:pt>
                <c:pt idx="13">
                  <c:v>8</c:v>
                </c:pt>
                <c:pt idx="14">
                  <c:v>4</c:v>
                </c:pt>
                <c:pt idx="15">
                  <c:v>0</c:v>
                </c:pt>
              </c:numCache>
            </c:numRef>
          </c:yVal>
          <c:smooth val="1"/>
          <c:extLst>
            <c:ext xmlns:c16="http://schemas.microsoft.com/office/drawing/2014/chart" uri="{C3380CC4-5D6E-409C-BE32-E72D297353CC}">
              <c16:uniqueId val="{00000000-CE1A-4E58-8124-65FA9C44D269}"/>
            </c:ext>
          </c:extLst>
        </c:ser>
        <c:ser>
          <c:idx val="1"/>
          <c:order val="1"/>
          <c:tx>
            <c:strRef>
              <c:f>Fauna!$F$1:$F$1</c:f>
              <c:strCache>
                <c:ptCount val="1"/>
                <c:pt idx="0">
                  <c:v>eur. Grundw.</c:v>
                </c:pt>
              </c:strCache>
            </c:strRef>
          </c:tx>
          <c:spPr>
            <a:ln w="28800">
              <a:solidFill>
                <a:srgbClr val="FF420E"/>
              </a:solidFill>
              <a:round/>
            </a:ln>
          </c:spPr>
          <c:marker>
            <c:symbol val="none"/>
          </c:marker>
          <c:xVal>
            <c:numRef>
              <c:f>Fauna!$D$2:$D$17</c:f>
              <c:numCache>
                <c:formatCode>General</c:formatCode>
                <c:ptCount val="16"/>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numCache>
            </c:numRef>
          </c:xVal>
          <c:yVal>
            <c:numRef>
              <c:f>Fauna!$F$2:$F$17</c:f>
              <c:numCache>
                <c:formatCode>General</c:formatCode>
                <c:ptCount val="16"/>
                <c:pt idx="0">
                  <c:v>0</c:v>
                </c:pt>
                <c:pt idx="1">
                  <c:v>0</c:v>
                </c:pt>
                <c:pt idx="2">
                  <c:v>2</c:v>
                </c:pt>
                <c:pt idx="3">
                  <c:v>5</c:v>
                </c:pt>
                <c:pt idx="4">
                  <c:v>6</c:v>
                </c:pt>
                <c:pt idx="5">
                  <c:v>6</c:v>
                </c:pt>
                <c:pt idx="6">
                  <c:v>6</c:v>
                </c:pt>
                <c:pt idx="7">
                  <c:v>7</c:v>
                </c:pt>
                <c:pt idx="8">
                  <c:v>7</c:v>
                </c:pt>
                <c:pt idx="9">
                  <c:v>7</c:v>
                </c:pt>
                <c:pt idx="10">
                  <c:v>7</c:v>
                </c:pt>
                <c:pt idx="11">
                  <c:v>7</c:v>
                </c:pt>
                <c:pt idx="12">
                  <c:v>6</c:v>
                </c:pt>
                <c:pt idx="13">
                  <c:v>5</c:v>
                </c:pt>
                <c:pt idx="14">
                  <c:v>0</c:v>
                </c:pt>
                <c:pt idx="15">
                  <c:v>0</c:v>
                </c:pt>
              </c:numCache>
            </c:numRef>
          </c:yVal>
          <c:smooth val="1"/>
          <c:extLst>
            <c:ext xmlns:c16="http://schemas.microsoft.com/office/drawing/2014/chart" uri="{C3380CC4-5D6E-409C-BE32-E72D297353CC}">
              <c16:uniqueId val="{00000001-CE1A-4E58-8124-65FA9C44D269}"/>
            </c:ext>
          </c:extLst>
        </c:ser>
        <c:ser>
          <c:idx val="2"/>
          <c:order val="2"/>
          <c:tx>
            <c:strRef>
              <c:f>Fauna!$G$1:$G$1</c:f>
              <c:strCache>
                <c:ptCount val="1"/>
                <c:pt idx="0">
                  <c:v>steno. Grundw.</c:v>
                </c:pt>
              </c:strCache>
            </c:strRef>
          </c:tx>
          <c:spPr>
            <a:ln w="28800">
              <a:solidFill>
                <a:srgbClr val="FFD320"/>
              </a:solidFill>
              <a:round/>
            </a:ln>
          </c:spPr>
          <c:marker>
            <c:symbol val="none"/>
          </c:marker>
          <c:xVal>
            <c:numRef>
              <c:f>Fauna!$D$2:$D$17</c:f>
              <c:numCache>
                <c:formatCode>General</c:formatCode>
                <c:ptCount val="16"/>
                <c:pt idx="0">
                  <c:v>0</c:v>
                </c:pt>
                <c:pt idx="1">
                  <c:v>2</c:v>
                </c:pt>
                <c:pt idx="2">
                  <c:v>4</c:v>
                </c:pt>
                <c:pt idx="3">
                  <c:v>6</c:v>
                </c:pt>
                <c:pt idx="4">
                  <c:v>8</c:v>
                </c:pt>
                <c:pt idx="5">
                  <c:v>10</c:v>
                </c:pt>
                <c:pt idx="6">
                  <c:v>12</c:v>
                </c:pt>
                <c:pt idx="7">
                  <c:v>14</c:v>
                </c:pt>
                <c:pt idx="8">
                  <c:v>16</c:v>
                </c:pt>
                <c:pt idx="9">
                  <c:v>18</c:v>
                </c:pt>
                <c:pt idx="10">
                  <c:v>20</c:v>
                </c:pt>
                <c:pt idx="11">
                  <c:v>22</c:v>
                </c:pt>
                <c:pt idx="12">
                  <c:v>24</c:v>
                </c:pt>
                <c:pt idx="13">
                  <c:v>26</c:v>
                </c:pt>
                <c:pt idx="14">
                  <c:v>28</c:v>
                </c:pt>
                <c:pt idx="15">
                  <c:v>30</c:v>
                </c:pt>
              </c:numCache>
            </c:numRef>
          </c:xVal>
          <c:yVal>
            <c:numRef>
              <c:f>Fauna!$G$2:$G$17</c:f>
              <c:numCache>
                <c:formatCode>General</c:formatCode>
                <c:ptCount val="16"/>
                <c:pt idx="0">
                  <c:v>0</c:v>
                </c:pt>
                <c:pt idx="1">
                  <c:v>0</c:v>
                </c:pt>
                <c:pt idx="2">
                  <c:v>2</c:v>
                </c:pt>
                <c:pt idx="3">
                  <c:v>5</c:v>
                </c:pt>
                <c:pt idx="4">
                  <c:v>5</c:v>
                </c:pt>
                <c:pt idx="5">
                  <c:v>6</c:v>
                </c:pt>
                <c:pt idx="6">
                  <c:v>6</c:v>
                </c:pt>
                <c:pt idx="7">
                  <c:v>6</c:v>
                </c:pt>
                <c:pt idx="8">
                  <c:v>6</c:v>
                </c:pt>
                <c:pt idx="9">
                  <c:v>6</c:v>
                </c:pt>
                <c:pt idx="10">
                  <c:v>5</c:v>
                </c:pt>
                <c:pt idx="11">
                  <c:v>0</c:v>
                </c:pt>
                <c:pt idx="12">
                  <c:v>0</c:v>
                </c:pt>
                <c:pt idx="13">
                  <c:v>0</c:v>
                </c:pt>
                <c:pt idx="14">
                  <c:v>0</c:v>
                </c:pt>
                <c:pt idx="15">
                  <c:v>0</c:v>
                </c:pt>
              </c:numCache>
            </c:numRef>
          </c:yVal>
          <c:smooth val="1"/>
          <c:extLst>
            <c:ext xmlns:c16="http://schemas.microsoft.com/office/drawing/2014/chart" uri="{C3380CC4-5D6E-409C-BE32-E72D297353CC}">
              <c16:uniqueId val="{00000002-CE1A-4E58-8124-65FA9C44D269}"/>
            </c:ext>
          </c:extLst>
        </c:ser>
        <c:dLbls>
          <c:showLegendKey val="0"/>
          <c:showVal val="0"/>
          <c:showCatName val="0"/>
          <c:showSerName val="0"/>
          <c:showPercent val="0"/>
          <c:showBubbleSize val="0"/>
        </c:dLbls>
        <c:axId val="89168512"/>
        <c:axId val="89186688"/>
      </c:scatterChart>
      <c:valAx>
        <c:axId val="89168512"/>
        <c:scaling>
          <c:orientation val="minMax"/>
          <c:max val="40"/>
          <c:min val="0"/>
        </c:scaling>
        <c:delete val="0"/>
        <c:axPos val="b"/>
        <c:majorGridlines>
          <c:spPr>
            <a:ln w="0">
              <a:solidFill>
                <a:srgbClr val="000000"/>
              </a:solidFill>
            </a:ln>
          </c:spPr>
        </c:majorGridlines>
        <c:minorGridlines>
          <c:spPr>
            <a:ln w="0">
              <a:solidFill>
                <a:srgbClr val="B3B3B3"/>
              </a:solidFill>
            </a:ln>
          </c:spPr>
        </c:minorGridlines>
        <c:numFmt formatCode="General" sourceLinked="0"/>
        <c:majorTickMark val="cross"/>
        <c:minorTickMark val="cross"/>
        <c:tickLblPos val="nextTo"/>
        <c:spPr>
          <a:ln w="0">
            <a:solidFill>
              <a:srgbClr val="000000"/>
            </a:solidFill>
          </a:ln>
        </c:spPr>
        <c:txPr>
          <a:bodyPr/>
          <a:lstStyle/>
          <a:p>
            <a:pPr>
              <a:defRPr sz="1000" b="0" strike="noStrike" spc="-1">
                <a:solidFill>
                  <a:srgbClr val="000000"/>
                </a:solidFill>
                <a:latin typeface="Arial"/>
              </a:defRPr>
            </a:pPr>
            <a:endParaRPr lang="de-DE"/>
          </a:p>
        </c:txPr>
        <c:crossAx val="89186688"/>
        <c:crosses val="autoZero"/>
        <c:crossBetween val="midCat"/>
        <c:majorUnit val="10"/>
      </c:valAx>
      <c:valAx>
        <c:axId val="89186688"/>
        <c:scaling>
          <c:orientation val="minMax"/>
          <c:max val="10"/>
          <c:min val="0"/>
        </c:scaling>
        <c:delete val="0"/>
        <c:axPos val="l"/>
        <c:majorGridlines>
          <c:spPr>
            <a:ln w="0">
              <a:solidFill>
                <a:srgbClr val="000000"/>
              </a:solidFill>
            </a:ln>
          </c:spPr>
        </c:majorGridlines>
        <c:numFmt formatCode="General" sourceLinked="0"/>
        <c:majorTickMark val="cross"/>
        <c:minorTickMark val="cross"/>
        <c:tickLblPos val="nextTo"/>
        <c:spPr>
          <a:ln w="0">
            <a:solidFill>
              <a:srgbClr val="000000"/>
            </a:solidFill>
          </a:ln>
        </c:spPr>
        <c:txPr>
          <a:bodyPr/>
          <a:lstStyle/>
          <a:p>
            <a:pPr>
              <a:defRPr sz="1000" b="0" strike="noStrike" spc="-1">
                <a:solidFill>
                  <a:srgbClr val="000000"/>
                </a:solidFill>
                <a:latin typeface="Arial"/>
              </a:defRPr>
            </a:pPr>
            <a:endParaRPr lang="de-DE"/>
          </a:p>
        </c:txPr>
        <c:crossAx val="89168512"/>
        <c:crosses val="autoZero"/>
        <c:crossBetween val="midCat"/>
      </c:valAx>
      <c:spPr>
        <a:noFill/>
        <a:ln w="0">
          <a:solidFill>
            <a:srgbClr val="B3B3B3"/>
          </a:solidFill>
        </a:ln>
      </c:spPr>
    </c:plotArea>
    <c:legend>
      <c:legendPos val="r"/>
      <c:overlay val="0"/>
      <c:spPr>
        <a:noFill/>
        <a:ln w="0">
          <a:noFill/>
        </a:ln>
      </c:spPr>
      <c:txPr>
        <a:bodyPr/>
        <a:lstStyle/>
        <a:p>
          <a:pPr>
            <a:defRPr sz="1000" b="0" strike="noStrike" spc="-1">
              <a:solidFill>
                <a:srgbClr val="000000"/>
              </a:solidFill>
              <a:latin typeface="Arial"/>
            </a:defRPr>
          </a:pPr>
          <a:endParaRPr lang="de-DE"/>
        </a:p>
      </c:txPr>
    </c:legend>
    <c:plotVisOnly val="1"/>
    <c:dispBlanksAs val="span"/>
    <c:showDLblsOverMax val="0"/>
  </c:chart>
  <c:spPr>
    <a:noFill/>
    <a:ln w="0">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checked="Checked" fmlaLink="$A$13" lockText="1" noThreeD="1"/>
</file>

<file path=xl/ctrlProps/ctrlProp2.xml><?xml version="1.0" encoding="utf-8"?>
<formControlPr xmlns="http://schemas.microsoft.com/office/spreadsheetml/2009/9/main" objectType="CheckBox" checked="Checked" fmlaLink="$A$14" lockText="1" noThreeD="1"/>
</file>

<file path=xl/ctrlProps/ctrlProp3.xml><?xml version="1.0" encoding="utf-8"?>
<formControlPr xmlns="http://schemas.microsoft.com/office/spreadsheetml/2009/9/main" objectType="CheckBox" checked="Checked" fmlaLink="$E$3" lockText="1" noThreeD="1"/>
</file>

<file path=xl/ctrlProps/ctrlProp4.xml><?xml version="1.0" encoding="utf-8"?>
<formControlPr xmlns="http://schemas.microsoft.com/office/spreadsheetml/2009/9/main" objectType="CheckBox" checked="Checked" fmlaLink="$K$28" lockText="1" noThreeD="1"/>
</file>

<file path=xl/ctrlProps/ctrlProp5.xml><?xml version="1.0" encoding="utf-8"?>
<formControlPr xmlns="http://schemas.microsoft.com/office/spreadsheetml/2009/9/main" objectType="CheckBox" checked="Checked" fmlaLink="$M$49" lockText="1" noThreeD="1"/>
</file>

<file path=xl/ctrlProps/ctrlProp6.xml><?xml version="1.0" encoding="utf-8"?>
<formControlPr xmlns="http://schemas.microsoft.com/office/spreadsheetml/2009/9/main" objectType="CheckBox" checked="Checked" fmlaLink="$J$32" lockText="1" noThreeD="1"/>
</file>

<file path=xl/ctrlProps/ctrlProp7.xml><?xml version="1.0" encoding="utf-8"?>
<formControlPr xmlns="http://schemas.microsoft.com/office/spreadsheetml/2009/9/main" objectType="CheckBox" checked="Checked" fmlaLink="$J$91"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2.xml"/><Relationship Id="rId7" Type="http://schemas.openxmlformats.org/officeDocument/2006/relationships/chart" Target="../charts/chart5.xml"/><Relationship Id="rId2" Type="http://schemas.openxmlformats.org/officeDocument/2006/relationships/chart" Target="../charts/chart1.xml"/><Relationship Id="rId1" Type="http://schemas.openxmlformats.org/officeDocument/2006/relationships/image" Target="../media/image6.png"/><Relationship Id="rId6" Type="http://schemas.openxmlformats.org/officeDocument/2006/relationships/chart" Target="../charts/chart4.xml"/><Relationship Id="rId5" Type="http://schemas.openxmlformats.org/officeDocument/2006/relationships/image" Target="../media/image7.png"/><Relationship Id="rId10" Type="http://schemas.openxmlformats.org/officeDocument/2006/relationships/chart" Target="../charts/chart8.xml"/><Relationship Id="rId4" Type="http://schemas.openxmlformats.org/officeDocument/2006/relationships/chart" Target="../charts/chart3.xml"/><Relationship Id="rId9" Type="http://schemas.openxmlformats.org/officeDocument/2006/relationships/chart" Target="../charts/chart7.xml"/></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image" Target="../media/image12.jpeg"/></Relationships>
</file>

<file path=xl/drawings/_rels/drawing7.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17</xdr:row>
      <xdr:rowOff>66675</xdr:rowOff>
    </xdr:from>
    <xdr:to>
      <xdr:col>5</xdr:col>
      <xdr:colOff>11850</xdr:colOff>
      <xdr:row>29</xdr:row>
      <xdr:rowOff>99975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0" y="2495550"/>
          <a:ext cx="2964600" cy="1976400"/>
        </a:xfrm>
        <a:prstGeom prst="rect">
          <a:avLst/>
        </a:prstGeom>
        <a:ln>
          <a:solidFill>
            <a:sysClr val="windowText" lastClr="000000"/>
          </a:solidFill>
        </a:ln>
      </xdr:spPr>
    </xdr:pic>
    <xdr:clientData/>
  </xdr:twoCellAnchor>
  <xdr:twoCellAnchor editAs="oneCell">
    <xdr:from>
      <xdr:col>5</xdr:col>
      <xdr:colOff>99820</xdr:colOff>
      <xdr:row>17</xdr:row>
      <xdr:rowOff>66675</xdr:rowOff>
    </xdr:from>
    <xdr:to>
      <xdr:col>9</xdr:col>
      <xdr:colOff>45380</xdr:colOff>
      <xdr:row>29</xdr:row>
      <xdr:rowOff>100014</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3147820" y="2495550"/>
          <a:ext cx="2984035" cy="1976439"/>
        </a:xfrm>
        <a:prstGeom prst="rect">
          <a:avLst/>
        </a:prstGeom>
        <a:ln>
          <a:solidFill>
            <a:sysClr val="windowText" lastClr="000000"/>
          </a:solidFill>
        </a:ln>
      </xdr:spPr>
    </xdr:pic>
    <xdr:clientData/>
  </xdr:twoCellAnchor>
  <xdr:twoCellAnchor editAs="oneCell">
    <xdr:from>
      <xdr:col>9</xdr:col>
      <xdr:colOff>123825</xdr:colOff>
      <xdr:row>17</xdr:row>
      <xdr:rowOff>66675</xdr:rowOff>
    </xdr:from>
    <xdr:to>
      <xdr:col>12</xdr:col>
      <xdr:colOff>665184</xdr:colOff>
      <xdr:row>29</xdr:row>
      <xdr:rowOff>100014</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40000" contrast="20000"/>
                  </a14:imgEffect>
                </a14:imgLayer>
              </a14:imgProps>
            </a:ext>
            <a:ext uri="{28A0092B-C50C-407E-A947-70E740481C1C}">
              <a14:useLocalDpi xmlns:a14="http://schemas.microsoft.com/office/drawing/2010/main"/>
            </a:ext>
          </a:extLst>
        </a:blip>
        <a:srcRect/>
        <a:stretch/>
      </xdr:blipFill>
      <xdr:spPr>
        <a:xfrm rot="10800000">
          <a:off x="6210300" y="2495550"/>
          <a:ext cx="2827359" cy="1976439"/>
        </a:xfrm>
        <a:prstGeom prst="rect">
          <a:avLst/>
        </a:prstGeom>
        <a:ln>
          <a:solidFill>
            <a:sysClr val="windowText" lastClr="000000"/>
          </a:solidFill>
        </a:ln>
      </xdr:spPr>
    </xdr:pic>
    <xdr:clientData/>
  </xdr:twoCellAnchor>
  <xdr:twoCellAnchor>
    <xdr:from>
      <xdr:col>3</xdr:col>
      <xdr:colOff>561975</xdr:colOff>
      <xdr:row>28</xdr:row>
      <xdr:rowOff>0</xdr:rowOff>
    </xdr:from>
    <xdr:to>
      <xdr:col>5</xdr:col>
      <xdr:colOff>485775</xdr:colOff>
      <xdr:row>31</xdr:row>
      <xdr:rowOff>0</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2085975" y="4210050"/>
          <a:ext cx="14478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chemeClr val="bg1"/>
              </a:solidFill>
              <a:latin typeface="Arial" panose="020B0604020202020204" pitchFamily="34" charset="0"/>
              <a:cs typeface="Arial" panose="020B0604020202020204" pitchFamily="34" charset="0"/>
            </a:rPr>
            <a:t>Foto: TUBAF</a:t>
          </a:r>
        </a:p>
      </xdr:txBody>
    </xdr:sp>
    <xdr:clientData/>
  </xdr:twoCellAnchor>
  <xdr:twoCellAnchor>
    <xdr:from>
      <xdr:col>7</xdr:col>
      <xdr:colOff>571500</xdr:colOff>
      <xdr:row>28</xdr:row>
      <xdr:rowOff>0</xdr:rowOff>
    </xdr:from>
    <xdr:to>
      <xdr:col>9</xdr:col>
      <xdr:colOff>495300</xdr:colOff>
      <xdr:row>31</xdr:row>
      <xdr:rowOff>0</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5133975" y="4210050"/>
          <a:ext cx="14478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chemeClr val="bg1"/>
              </a:solidFill>
              <a:latin typeface="Arial" panose="020B0604020202020204" pitchFamily="34" charset="0"/>
              <a:cs typeface="Arial" panose="020B0604020202020204" pitchFamily="34" charset="0"/>
            </a:rPr>
            <a:t>Foto: TUBAF</a:t>
          </a:r>
        </a:p>
      </xdr:txBody>
    </xdr:sp>
    <xdr:clientData/>
  </xdr:twoCellAnchor>
  <xdr:twoCellAnchor>
    <xdr:from>
      <xdr:col>9</xdr:col>
      <xdr:colOff>180975</xdr:colOff>
      <xdr:row>28</xdr:row>
      <xdr:rowOff>0</xdr:rowOff>
    </xdr:from>
    <xdr:to>
      <xdr:col>11</xdr:col>
      <xdr:colOff>104775</xdr:colOff>
      <xdr:row>31</xdr:row>
      <xdr:rowOff>0</xdr:rowOff>
    </xdr:to>
    <xdr:sp macro="" textlink="">
      <xdr:nvSpPr>
        <xdr:cNvPr id="7" name="Textfeld 6">
          <a:extLst>
            <a:ext uri="{FF2B5EF4-FFF2-40B4-BE49-F238E27FC236}">
              <a16:creationId xmlns:a16="http://schemas.microsoft.com/office/drawing/2014/main" id="{00000000-0008-0000-0000-000007000000}"/>
            </a:ext>
          </a:extLst>
        </xdr:cNvPr>
        <xdr:cNvSpPr txBox="1"/>
      </xdr:nvSpPr>
      <xdr:spPr>
        <a:xfrm>
          <a:off x="6267450" y="4210050"/>
          <a:ext cx="1447800" cy="485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solidFill>
                <a:schemeClr val="tx1"/>
              </a:solidFill>
              <a:latin typeface="Arial" panose="020B0604020202020204" pitchFamily="34" charset="0"/>
              <a:cs typeface="Arial" panose="020B0604020202020204" pitchFamily="34" charset="0"/>
            </a:rPr>
            <a:t>Foto: TUBAF</a:t>
          </a:r>
        </a:p>
      </xdr:txBody>
    </xdr:sp>
    <xdr:clientData/>
  </xdr:twoCellAnchor>
  <xdr:twoCellAnchor>
    <xdr:from>
      <xdr:col>1</xdr:col>
      <xdr:colOff>245550</xdr:colOff>
      <xdr:row>30</xdr:row>
      <xdr:rowOff>85725</xdr:rowOff>
    </xdr:from>
    <xdr:to>
      <xdr:col>4</xdr:col>
      <xdr:colOff>623550</xdr:colOff>
      <xdr:row>35</xdr:row>
      <xdr:rowOff>66675</xdr:rowOff>
    </xdr:to>
    <xdr:sp macro="" textlink="">
      <xdr:nvSpPr>
        <xdr:cNvPr id="8" name="Textfeld 7">
          <a:extLst>
            <a:ext uri="{FF2B5EF4-FFF2-40B4-BE49-F238E27FC236}">
              <a16:creationId xmlns:a16="http://schemas.microsoft.com/office/drawing/2014/main" id="{00000000-0008-0000-0000-000008000000}"/>
            </a:ext>
          </a:extLst>
        </xdr:cNvPr>
        <xdr:cNvSpPr txBox="1"/>
      </xdr:nvSpPr>
      <xdr:spPr>
        <a:xfrm>
          <a:off x="245550" y="4619625"/>
          <a:ext cx="2664000" cy="7905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1">
              <a:latin typeface="Arial" panose="020B0604020202020204" pitchFamily="34" charset="0"/>
              <a:cs typeface="Arial" panose="020B0604020202020204" pitchFamily="34" charset="0"/>
            </a:rPr>
            <a:t>Standortklassifizierung:</a:t>
          </a:r>
        </a:p>
        <a:p>
          <a:pPr algn="ctr"/>
          <a:r>
            <a:rPr lang="de-DE" sz="1100">
              <a:latin typeface="Arial" panose="020B0604020202020204" pitchFamily="34" charset="0"/>
              <a:cs typeface="Arial" panose="020B0604020202020204" pitchFamily="34" charset="0"/>
            </a:rPr>
            <a:t>Eine erste Einschätzung des energetischen Potenzials</a:t>
          </a:r>
          <a:r>
            <a:rPr lang="de-DE" sz="1100" baseline="0">
              <a:latin typeface="Arial" panose="020B0604020202020204" pitchFamily="34" charset="0"/>
              <a:cs typeface="Arial" panose="020B0604020202020204" pitchFamily="34" charset="0"/>
            </a:rPr>
            <a:t> eines Standortes.</a:t>
          </a:r>
          <a:endParaRPr lang="de-DE" sz="1100">
            <a:latin typeface="Arial" panose="020B0604020202020204" pitchFamily="34" charset="0"/>
            <a:cs typeface="Arial" panose="020B0604020202020204" pitchFamily="34" charset="0"/>
          </a:endParaRPr>
        </a:p>
      </xdr:txBody>
    </xdr:sp>
    <xdr:clientData/>
  </xdr:twoCellAnchor>
  <xdr:twoCellAnchor>
    <xdr:from>
      <xdr:col>5</xdr:col>
      <xdr:colOff>259837</xdr:colOff>
      <xdr:row>30</xdr:row>
      <xdr:rowOff>85725</xdr:rowOff>
    </xdr:from>
    <xdr:to>
      <xdr:col>8</xdr:col>
      <xdr:colOff>647362</xdr:colOff>
      <xdr:row>35</xdr:row>
      <xdr:rowOff>66675</xdr:rowOff>
    </xdr:to>
    <xdr:sp macro="" textlink="">
      <xdr:nvSpPr>
        <xdr:cNvPr id="9" name="Textfeld 8">
          <a:extLst>
            <a:ext uri="{FF2B5EF4-FFF2-40B4-BE49-F238E27FC236}">
              <a16:creationId xmlns:a16="http://schemas.microsoft.com/office/drawing/2014/main" id="{00000000-0008-0000-0000-000009000000}"/>
            </a:ext>
          </a:extLst>
        </xdr:cNvPr>
        <xdr:cNvSpPr txBox="1"/>
      </xdr:nvSpPr>
      <xdr:spPr>
        <a:xfrm>
          <a:off x="3307837" y="4619625"/>
          <a:ext cx="2664000" cy="7905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1">
              <a:latin typeface="Arial" panose="020B0604020202020204" pitchFamily="34" charset="0"/>
              <a:cs typeface="Arial" panose="020B0604020202020204" pitchFamily="34" charset="0"/>
            </a:rPr>
            <a:t>Foulingprognose:</a:t>
          </a:r>
        </a:p>
        <a:p>
          <a:pPr algn="ctr"/>
          <a:r>
            <a:rPr lang="de-DE" sz="1100">
              <a:latin typeface="Arial" panose="020B0604020202020204" pitchFamily="34" charset="0"/>
              <a:cs typeface="Arial" panose="020B0604020202020204" pitchFamily="34" charset="0"/>
            </a:rPr>
            <a:t>Eine Vohersage der zu erwartentenden Ablagerungsbildung im Wärme-übertrager und deren Auswirkung.</a:t>
          </a:r>
        </a:p>
      </xdr:txBody>
    </xdr:sp>
    <xdr:clientData/>
  </xdr:twoCellAnchor>
  <xdr:twoCellAnchor>
    <xdr:from>
      <xdr:col>9</xdr:col>
      <xdr:colOff>205504</xdr:colOff>
      <xdr:row>30</xdr:row>
      <xdr:rowOff>85725</xdr:rowOff>
    </xdr:from>
    <xdr:to>
      <xdr:col>12</xdr:col>
      <xdr:colOff>583504</xdr:colOff>
      <xdr:row>35</xdr:row>
      <xdr:rowOff>66675</xdr:rowOff>
    </xdr:to>
    <xdr:sp macro="" textlink="">
      <xdr:nvSpPr>
        <xdr:cNvPr id="10" name="Textfeld 9">
          <a:extLst>
            <a:ext uri="{FF2B5EF4-FFF2-40B4-BE49-F238E27FC236}">
              <a16:creationId xmlns:a16="http://schemas.microsoft.com/office/drawing/2014/main" id="{00000000-0008-0000-0000-00000A000000}"/>
            </a:ext>
          </a:extLst>
        </xdr:cNvPr>
        <xdr:cNvSpPr txBox="1"/>
      </xdr:nvSpPr>
      <xdr:spPr>
        <a:xfrm>
          <a:off x="6291979" y="4619625"/>
          <a:ext cx="2664000" cy="7905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100" b="1">
              <a:latin typeface="Arial" panose="020B0604020202020204" pitchFamily="34" charset="0"/>
              <a:cs typeface="Arial" panose="020B0604020202020204" pitchFamily="34" charset="0"/>
            </a:rPr>
            <a:t>Materialempfehlung:</a:t>
          </a:r>
        </a:p>
        <a:p>
          <a:pPr algn="ctr"/>
          <a:r>
            <a:rPr lang="de-DE" sz="1100">
              <a:latin typeface="Arial" panose="020B0604020202020204" pitchFamily="34" charset="0"/>
              <a:cs typeface="Arial" panose="020B0604020202020204" pitchFamily="34" charset="0"/>
            </a:rPr>
            <a:t>Eine Empfehlung für ein Material</a:t>
          </a:r>
          <a:r>
            <a:rPr lang="de-DE" sz="1100" baseline="0">
              <a:latin typeface="Arial" panose="020B0604020202020204" pitchFamily="34" charset="0"/>
              <a:cs typeface="Arial" panose="020B0604020202020204" pitchFamily="34" charset="0"/>
            </a:rPr>
            <a:t> oder eine Beschichtung, </a:t>
          </a:r>
          <a:r>
            <a:rPr lang="de-DE" sz="1100">
              <a:latin typeface="Arial" panose="020B0604020202020204" pitchFamily="34" charset="0"/>
              <a:cs typeface="Arial" panose="020B0604020202020204" pitchFamily="34" charset="0"/>
            </a:rPr>
            <a:t>um das Fouling zu minimieren und die Effizienz zu steigern</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24</xdr:row>
          <xdr:rowOff>133350</xdr:rowOff>
        </xdr:from>
        <xdr:to>
          <xdr:col>3</xdr:col>
          <xdr:colOff>361950</xdr:colOff>
          <xdr:row>26</xdr:row>
          <xdr:rowOff>47625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142875</xdr:rowOff>
        </xdr:from>
        <xdr:to>
          <xdr:col>3</xdr:col>
          <xdr:colOff>361950</xdr:colOff>
          <xdr:row>27</xdr:row>
          <xdr:rowOff>47625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5</xdr:col>
      <xdr:colOff>142500</xdr:colOff>
      <xdr:row>5</xdr:row>
      <xdr:rowOff>49492</xdr:rowOff>
    </xdr:from>
    <xdr:to>
      <xdr:col>6</xdr:col>
      <xdr:colOff>739587</xdr:colOff>
      <xdr:row>13</xdr:row>
      <xdr:rowOff>135367</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886265" y="901139"/>
          <a:ext cx="2109881" cy="137455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1190625</xdr:colOff>
          <xdr:row>1</xdr:row>
          <xdr:rowOff>133350</xdr:rowOff>
        </xdr:from>
        <xdr:to>
          <xdr:col>3</xdr:col>
          <xdr:colOff>1504950</xdr:colOff>
          <xdr:row>3</xdr:row>
          <xdr:rowOff>28575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26</xdr:row>
          <xdr:rowOff>123825</xdr:rowOff>
        </xdr:from>
        <xdr:to>
          <xdr:col>9</xdr:col>
          <xdr:colOff>742950</xdr:colOff>
          <xdr:row>28</xdr:row>
          <xdr:rowOff>47625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523875</xdr:colOff>
          <xdr:row>43</xdr:row>
          <xdr:rowOff>66675</xdr:rowOff>
        </xdr:from>
        <xdr:to>
          <xdr:col>13</xdr:col>
          <xdr:colOff>266700</xdr:colOff>
          <xdr:row>46</xdr:row>
          <xdr:rowOff>47625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560294</xdr:colOff>
      <xdr:row>58</xdr:row>
      <xdr:rowOff>125102</xdr:rowOff>
    </xdr:from>
    <xdr:to>
      <xdr:col>5</xdr:col>
      <xdr:colOff>1139241</xdr:colOff>
      <xdr:row>63</xdr:row>
      <xdr:rowOff>74859</xdr:rowOff>
    </xdr:to>
    <xdr:pic>
      <xdr:nvPicPr>
        <xdr:cNvPr id="39" name="Grafik 38">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0294" y="9669152"/>
          <a:ext cx="4865197" cy="759382"/>
        </a:xfrm>
        <a:prstGeom prst="rect">
          <a:avLst/>
        </a:prstGeom>
      </xdr:spPr>
    </xdr:pic>
    <xdr:clientData/>
  </xdr:twoCellAnchor>
  <xdr:twoCellAnchor>
    <xdr:from>
      <xdr:col>1</xdr:col>
      <xdr:colOff>696309</xdr:colOff>
      <xdr:row>70</xdr:row>
      <xdr:rowOff>152400</xdr:rowOff>
    </xdr:from>
    <xdr:to>
      <xdr:col>5</xdr:col>
      <xdr:colOff>538842</xdr:colOff>
      <xdr:row>85</xdr:row>
      <xdr:rowOff>43961</xdr:rowOff>
    </xdr:to>
    <xdr:grpSp>
      <xdr:nvGrpSpPr>
        <xdr:cNvPr id="30" name="Gruppieren 29">
          <a:extLst>
            <a:ext uri="{FF2B5EF4-FFF2-40B4-BE49-F238E27FC236}">
              <a16:creationId xmlns:a16="http://schemas.microsoft.com/office/drawing/2014/main" id="{00000000-0008-0000-0200-00001E000000}"/>
            </a:ext>
          </a:extLst>
        </xdr:cNvPr>
        <xdr:cNvGrpSpPr/>
      </xdr:nvGrpSpPr>
      <xdr:grpSpPr>
        <a:xfrm>
          <a:off x="1458309" y="11639550"/>
          <a:ext cx="3366783" cy="2320436"/>
          <a:chOff x="1420090" y="5919355"/>
          <a:chExt cx="3022673" cy="2294458"/>
        </a:xfrm>
      </xdr:grpSpPr>
      <xdr:sp macro="" textlink="">
        <xdr:nvSpPr>
          <xdr:cNvPr id="27" name="Rechteck 26">
            <a:extLst>
              <a:ext uri="{FF2B5EF4-FFF2-40B4-BE49-F238E27FC236}">
                <a16:creationId xmlns:a16="http://schemas.microsoft.com/office/drawing/2014/main" id="{00000000-0008-0000-0200-00001B000000}"/>
              </a:ext>
            </a:extLst>
          </xdr:cNvPr>
          <xdr:cNvSpPr/>
        </xdr:nvSpPr>
        <xdr:spPr>
          <a:xfrm>
            <a:off x="1420091" y="6606020"/>
            <a:ext cx="3022672" cy="1607793"/>
          </a:xfrm>
          <a:prstGeom prst="rect">
            <a:avLst/>
          </a:prstGeom>
          <a:solidFill>
            <a:schemeClr val="accent2">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28" name="Rechteck 27">
            <a:extLst>
              <a:ext uri="{FF2B5EF4-FFF2-40B4-BE49-F238E27FC236}">
                <a16:creationId xmlns:a16="http://schemas.microsoft.com/office/drawing/2014/main" id="{00000000-0008-0000-0200-00001C000000}"/>
              </a:ext>
            </a:extLst>
          </xdr:cNvPr>
          <xdr:cNvSpPr/>
        </xdr:nvSpPr>
        <xdr:spPr>
          <a:xfrm>
            <a:off x="1420090" y="6377420"/>
            <a:ext cx="3020291" cy="229466"/>
          </a:xfrm>
          <a:prstGeom prst="rect">
            <a:avLst/>
          </a:prstGeom>
          <a:solidFill>
            <a:srgbClr val="FFFFC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29" name="Rechteck 28">
            <a:extLst>
              <a:ext uri="{FF2B5EF4-FFF2-40B4-BE49-F238E27FC236}">
                <a16:creationId xmlns:a16="http://schemas.microsoft.com/office/drawing/2014/main" id="{00000000-0008-0000-0200-00001D000000}"/>
              </a:ext>
            </a:extLst>
          </xdr:cNvPr>
          <xdr:cNvSpPr/>
        </xdr:nvSpPr>
        <xdr:spPr>
          <a:xfrm>
            <a:off x="1420090" y="5919355"/>
            <a:ext cx="3020291" cy="460014"/>
          </a:xfrm>
          <a:prstGeom prst="rect">
            <a:avLst/>
          </a:prstGeom>
          <a:solidFill>
            <a:schemeClr val="accent3">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twoCellAnchor>
    <xdr:from>
      <xdr:col>0</xdr:col>
      <xdr:colOff>712694</xdr:colOff>
      <xdr:row>70</xdr:row>
      <xdr:rowOff>6882</xdr:rowOff>
    </xdr:from>
    <xdr:to>
      <xdr:col>5</xdr:col>
      <xdr:colOff>847164</xdr:colOff>
      <xdr:row>87</xdr:row>
      <xdr:rowOff>83082</xdr:rowOff>
    </xdr:to>
    <xdr:graphicFrame macro="">
      <xdr:nvGraphicFramePr>
        <xdr:cNvPr id="12" name="Diagramm 11">
          <a:extLst>
            <a:ext uri="{FF2B5EF4-FFF2-40B4-BE49-F238E27FC236}">
              <a16:creationId xmlns:a16="http://schemas.microsoft.com/office/drawing/2014/main" id="{00000000-0008-0000-02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237076</xdr:colOff>
      <xdr:row>23</xdr:row>
      <xdr:rowOff>4705</xdr:rowOff>
    </xdr:from>
    <xdr:to>
      <xdr:col>15</xdr:col>
      <xdr:colOff>313764</xdr:colOff>
      <xdr:row>36</xdr:row>
      <xdr:rowOff>30217</xdr:rowOff>
    </xdr:to>
    <xdr:grpSp>
      <xdr:nvGrpSpPr>
        <xdr:cNvPr id="34" name="Gruppieren 33">
          <a:extLst>
            <a:ext uri="{FF2B5EF4-FFF2-40B4-BE49-F238E27FC236}">
              <a16:creationId xmlns:a16="http://schemas.microsoft.com/office/drawing/2014/main" id="{00000000-0008-0000-0200-000022000000}"/>
            </a:ext>
          </a:extLst>
        </xdr:cNvPr>
        <xdr:cNvGrpSpPr/>
      </xdr:nvGrpSpPr>
      <xdr:grpSpPr>
        <a:xfrm>
          <a:off x="10076401" y="3728980"/>
          <a:ext cx="4086713" cy="2130537"/>
          <a:chOff x="9963781" y="5233848"/>
          <a:chExt cx="3559969" cy="1989743"/>
        </a:xfrm>
      </xdr:grpSpPr>
      <xdr:cxnSp macro="">
        <xdr:nvCxnSpPr>
          <xdr:cNvPr id="5" name="Gerader Verbinder 4">
            <a:extLst>
              <a:ext uri="{FF2B5EF4-FFF2-40B4-BE49-F238E27FC236}">
                <a16:creationId xmlns:a16="http://schemas.microsoft.com/office/drawing/2014/main" id="{00000000-0008-0000-0200-000005000000}"/>
              </a:ext>
            </a:extLst>
          </xdr:cNvPr>
          <xdr:cNvCxnSpPr/>
        </xdr:nvCxnSpPr>
        <xdr:spPr>
          <a:xfrm>
            <a:off x="9963781" y="6886015"/>
            <a:ext cx="440531" cy="313764"/>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7" name="Gerader Verbinder 6">
            <a:extLst>
              <a:ext uri="{FF2B5EF4-FFF2-40B4-BE49-F238E27FC236}">
                <a16:creationId xmlns:a16="http://schemas.microsoft.com/office/drawing/2014/main" id="{00000000-0008-0000-0200-000007000000}"/>
              </a:ext>
            </a:extLst>
          </xdr:cNvPr>
          <xdr:cNvCxnSpPr/>
        </xdr:nvCxnSpPr>
        <xdr:spPr>
          <a:xfrm>
            <a:off x="9969734" y="6554391"/>
            <a:ext cx="887015" cy="663247"/>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Gerader Verbinder 8">
            <a:extLst>
              <a:ext uri="{FF2B5EF4-FFF2-40B4-BE49-F238E27FC236}">
                <a16:creationId xmlns:a16="http://schemas.microsoft.com/office/drawing/2014/main" id="{00000000-0008-0000-0200-000009000000}"/>
              </a:ext>
            </a:extLst>
          </xdr:cNvPr>
          <xdr:cNvCxnSpPr/>
        </xdr:nvCxnSpPr>
        <xdr:spPr>
          <a:xfrm>
            <a:off x="9963781" y="6216813"/>
            <a:ext cx="1333500" cy="988919"/>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1" name="Gerader Verbinder 10">
            <a:extLst>
              <a:ext uri="{FF2B5EF4-FFF2-40B4-BE49-F238E27FC236}">
                <a16:creationId xmlns:a16="http://schemas.microsoft.com/office/drawing/2014/main" id="{00000000-0008-0000-0200-00000B000000}"/>
              </a:ext>
            </a:extLst>
          </xdr:cNvPr>
          <xdr:cNvCxnSpPr/>
        </xdr:nvCxnSpPr>
        <xdr:spPr>
          <a:xfrm>
            <a:off x="9963781" y="5891143"/>
            <a:ext cx="1774031" cy="1314589"/>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3" name="Gerader Verbinder 12">
            <a:extLst>
              <a:ext uri="{FF2B5EF4-FFF2-40B4-BE49-F238E27FC236}">
                <a16:creationId xmlns:a16="http://schemas.microsoft.com/office/drawing/2014/main" id="{00000000-0008-0000-0200-00000D000000}"/>
              </a:ext>
            </a:extLst>
          </xdr:cNvPr>
          <xdr:cNvCxnSpPr/>
        </xdr:nvCxnSpPr>
        <xdr:spPr>
          <a:xfrm>
            <a:off x="9963781" y="5559518"/>
            <a:ext cx="2220515" cy="1664073"/>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5" name="Gerader Verbinder 14">
            <a:extLst>
              <a:ext uri="{FF2B5EF4-FFF2-40B4-BE49-F238E27FC236}">
                <a16:creationId xmlns:a16="http://schemas.microsoft.com/office/drawing/2014/main" id="{00000000-0008-0000-0200-00000F000000}"/>
              </a:ext>
            </a:extLst>
          </xdr:cNvPr>
          <xdr:cNvCxnSpPr/>
        </xdr:nvCxnSpPr>
        <xdr:spPr>
          <a:xfrm>
            <a:off x="9963781" y="5245754"/>
            <a:ext cx="2661046" cy="1954025"/>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6" name="Gerader Verbinder 15">
            <a:extLst>
              <a:ext uri="{FF2B5EF4-FFF2-40B4-BE49-F238E27FC236}">
                <a16:creationId xmlns:a16="http://schemas.microsoft.com/office/drawing/2014/main" id="{00000000-0008-0000-0200-000010000000}"/>
              </a:ext>
            </a:extLst>
          </xdr:cNvPr>
          <xdr:cNvCxnSpPr/>
        </xdr:nvCxnSpPr>
        <xdr:spPr>
          <a:xfrm>
            <a:off x="10404313" y="5245754"/>
            <a:ext cx="2661046" cy="1954025"/>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7" name="Gerader Verbinder 16">
            <a:extLst>
              <a:ext uri="{FF2B5EF4-FFF2-40B4-BE49-F238E27FC236}">
                <a16:creationId xmlns:a16="http://schemas.microsoft.com/office/drawing/2014/main" id="{00000000-0008-0000-0200-000011000000}"/>
              </a:ext>
            </a:extLst>
          </xdr:cNvPr>
          <xdr:cNvCxnSpPr/>
        </xdr:nvCxnSpPr>
        <xdr:spPr>
          <a:xfrm>
            <a:off x="10856750" y="5251708"/>
            <a:ext cx="2661046" cy="1954025"/>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8" name="Gerader Verbinder 17">
            <a:extLst>
              <a:ext uri="{FF2B5EF4-FFF2-40B4-BE49-F238E27FC236}">
                <a16:creationId xmlns:a16="http://schemas.microsoft.com/office/drawing/2014/main" id="{00000000-0008-0000-0200-000012000000}"/>
              </a:ext>
            </a:extLst>
          </xdr:cNvPr>
          <xdr:cNvCxnSpPr/>
        </xdr:nvCxnSpPr>
        <xdr:spPr>
          <a:xfrm>
            <a:off x="11303234" y="5239800"/>
            <a:ext cx="2220515" cy="1664074"/>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9" name="Gerader Verbinder 18">
            <a:extLst>
              <a:ext uri="{FF2B5EF4-FFF2-40B4-BE49-F238E27FC236}">
                <a16:creationId xmlns:a16="http://schemas.microsoft.com/office/drawing/2014/main" id="{00000000-0008-0000-0200-000013000000}"/>
              </a:ext>
            </a:extLst>
          </xdr:cNvPr>
          <xdr:cNvCxnSpPr/>
        </xdr:nvCxnSpPr>
        <xdr:spPr>
          <a:xfrm>
            <a:off x="11725906" y="5233848"/>
            <a:ext cx="1774031" cy="1314590"/>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0" name="Gerader Verbinder 19">
            <a:extLst>
              <a:ext uri="{FF2B5EF4-FFF2-40B4-BE49-F238E27FC236}">
                <a16:creationId xmlns:a16="http://schemas.microsoft.com/office/drawing/2014/main" id="{00000000-0008-0000-0200-000014000000}"/>
              </a:ext>
            </a:extLst>
          </xdr:cNvPr>
          <xdr:cNvCxnSpPr/>
        </xdr:nvCxnSpPr>
        <xdr:spPr>
          <a:xfrm>
            <a:off x="12190250" y="5245754"/>
            <a:ext cx="1333500" cy="988918"/>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1" name="Gerader Verbinder 20">
            <a:extLst>
              <a:ext uri="{FF2B5EF4-FFF2-40B4-BE49-F238E27FC236}">
                <a16:creationId xmlns:a16="http://schemas.microsoft.com/office/drawing/2014/main" id="{00000000-0008-0000-0200-000015000000}"/>
              </a:ext>
            </a:extLst>
          </xdr:cNvPr>
          <xdr:cNvCxnSpPr/>
        </xdr:nvCxnSpPr>
        <xdr:spPr>
          <a:xfrm>
            <a:off x="12618875" y="5233848"/>
            <a:ext cx="887015" cy="663248"/>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22" name="Gerader Verbinder 21">
            <a:extLst>
              <a:ext uri="{FF2B5EF4-FFF2-40B4-BE49-F238E27FC236}">
                <a16:creationId xmlns:a16="http://schemas.microsoft.com/office/drawing/2014/main" id="{00000000-0008-0000-0200-000016000000}"/>
              </a:ext>
            </a:extLst>
          </xdr:cNvPr>
          <xdr:cNvCxnSpPr/>
        </xdr:nvCxnSpPr>
        <xdr:spPr>
          <a:xfrm>
            <a:off x="13071312" y="5257660"/>
            <a:ext cx="440531" cy="313765"/>
          </a:xfrm>
          <a:prstGeom prst="line">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61592</xdr:colOff>
      <xdr:row>22</xdr:row>
      <xdr:rowOff>58114</xdr:rowOff>
    </xdr:from>
    <xdr:to>
      <xdr:col>16</xdr:col>
      <xdr:colOff>448235</xdr:colOff>
      <xdr:row>39</xdr:row>
      <xdr:rowOff>126228</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82157</xdr:colOff>
      <xdr:row>5</xdr:row>
      <xdr:rowOff>44078</xdr:rowOff>
    </xdr:from>
    <xdr:to>
      <xdr:col>16</xdr:col>
      <xdr:colOff>49026</xdr:colOff>
      <xdr:row>20</xdr:row>
      <xdr:rowOff>112464</xdr:rowOff>
    </xdr:to>
    <xdr:graphicFrame macro="">
      <xdr:nvGraphicFramePr>
        <xdr:cNvPr id="4" name="Diagramm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526678</xdr:colOff>
      <xdr:row>64</xdr:row>
      <xdr:rowOff>44823</xdr:rowOff>
    </xdr:from>
    <xdr:to>
      <xdr:col>4</xdr:col>
      <xdr:colOff>33619</xdr:colOff>
      <xdr:row>66</xdr:row>
      <xdr:rowOff>100853</xdr:rowOff>
    </xdr:to>
    <xdr:sp macro="" textlink="">
      <xdr:nvSpPr>
        <xdr:cNvPr id="8" name="Pfeil: nach unten 7">
          <a:extLst>
            <a:ext uri="{FF2B5EF4-FFF2-40B4-BE49-F238E27FC236}">
              <a16:creationId xmlns:a16="http://schemas.microsoft.com/office/drawing/2014/main" id="{00000000-0008-0000-0200-000008000000}"/>
            </a:ext>
          </a:extLst>
        </xdr:cNvPr>
        <xdr:cNvSpPr/>
      </xdr:nvSpPr>
      <xdr:spPr>
        <a:xfrm>
          <a:off x="2812678" y="7306235"/>
          <a:ext cx="347382" cy="369794"/>
        </a:xfrm>
        <a:prstGeom prst="downArrow">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34722</xdr:colOff>
      <xdr:row>70</xdr:row>
      <xdr:rowOff>80316</xdr:rowOff>
    </xdr:from>
    <xdr:to>
      <xdr:col>7</xdr:col>
      <xdr:colOff>200025</xdr:colOff>
      <xdr:row>73</xdr:row>
      <xdr:rowOff>59119</xdr:rowOff>
    </xdr:to>
    <xdr:sp macro="" textlink="">
      <xdr:nvSpPr>
        <xdr:cNvPr id="14" name="Textfeld 13">
          <a:extLst>
            <a:ext uri="{FF2B5EF4-FFF2-40B4-BE49-F238E27FC236}">
              <a16:creationId xmlns:a16="http://schemas.microsoft.com/office/drawing/2014/main" id="{00000000-0008-0000-0200-00000E000000}"/>
            </a:ext>
          </a:extLst>
        </xdr:cNvPr>
        <xdr:cNvSpPr txBox="1"/>
      </xdr:nvSpPr>
      <xdr:spPr>
        <a:xfrm>
          <a:off x="5463972" y="11567466"/>
          <a:ext cx="1527378" cy="4645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atin typeface="Arial" panose="020B0604020202020204" pitchFamily="34" charset="0"/>
              <a:cs typeface="Arial" panose="020B0604020202020204" pitchFamily="34" charset="0"/>
            </a:rPr>
            <a:t>obere</a:t>
          </a:r>
          <a:r>
            <a:rPr lang="de-DE" sz="900" baseline="0">
              <a:latin typeface="Arial" panose="020B0604020202020204" pitchFamily="34" charset="0"/>
              <a:cs typeface="Arial" panose="020B0604020202020204" pitchFamily="34" charset="0"/>
            </a:rPr>
            <a:t> Grenze Prognose (optimistische Schätzung)</a:t>
          </a:r>
          <a:endParaRPr lang="de-DE" sz="900">
            <a:latin typeface="Arial" panose="020B0604020202020204" pitchFamily="34" charset="0"/>
            <a:cs typeface="Arial" panose="020B0604020202020204" pitchFamily="34" charset="0"/>
          </a:endParaRPr>
        </a:p>
      </xdr:txBody>
    </xdr:sp>
    <xdr:clientData/>
  </xdr:twoCellAnchor>
  <xdr:twoCellAnchor>
    <xdr:from>
      <xdr:col>6</xdr:col>
      <xdr:colOff>34722</xdr:colOff>
      <xdr:row>74</xdr:row>
      <xdr:rowOff>1040</xdr:rowOff>
    </xdr:from>
    <xdr:to>
      <xdr:col>7</xdr:col>
      <xdr:colOff>361950</xdr:colOff>
      <xdr:row>78</xdr:row>
      <xdr:rowOff>66675</xdr:rowOff>
    </xdr:to>
    <xdr:sp macro="" textlink="">
      <xdr:nvSpPr>
        <xdr:cNvPr id="25" name="Textfeld 24">
          <a:extLst>
            <a:ext uri="{FF2B5EF4-FFF2-40B4-BE49-F238E27FC236}">
              <a16:creationId xmlns:a16="http://schemas.microsoft.com/office/drawing/2014/main" id="{00000000-0008-0000-0200-000019000000}"/>
            </a:ext>
          </a:extLst>
        </xdr:cNvPr>
        <xdr:cNvSpPr txBox="1"/>
      </xdr:nvSpPr>
      <xdr:spPr>
        <a:xfrm>
          <a:off x="5463972" y="12135890"/>
          <a:ext cx="1689303" cy="7133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atin typeface="Arial" panose="020B0604020202020204" pitchFamily="34" charset="0"/>
              <a:cs typeface="Arial" panose="020B0604020202020204" pitchFamily="34" charset="0"/>
            </a:rPr>
            <a:t>untere</a:t>
          </a:r>
          <a:r>
            <a:rPr lang="de-DE" sz="900" baseline="0">
              <a:latin typeface="Arial" panose="020B0604020202020204" pitchFamily="34" charset="0"/>
              <a:cs typeface="Arial" panose="020B0604020202020204" pitchFamily="34" charset="0"/>
            </a:rPr>
            <a:t> Grenze Prognose</a:t>
          </a:r>
          <a:br>
            <a:rPr lang="de-DE" sz="900" baseline="0">
              <a:latin typeface="Arial" panose="020B0604020202020204" pitchFamily="34" charset="0"/>
              <a:cs typeface="Arial" panose="020B0604020202020204" pitchFamily="34" charset="0"/>
            </a:rPr>
          </a:br>
          <a:r>
            <a:rPr lang="de-DE" sz="900" baseline="0">
              <a:latin typeface="Arial" panose="020B0604020202020204" pitchFamily="34" charset="0"/>
              <a:cs typeface="Arial" panose="020B0604020202020204" pitchFamily="34" charset="0"/>
            </a:rPr>
            <a:t>(pessimistische Schätzung)</a:t>
          </a:r>
          <a:endParaRPr lang="de-DE" sz="900">
            <a:latin typeface="Arial" panose="020B0604020202020204" pitchFamily="34" charset="0"/>
            <a:cs typeface="Arial" panose="020B0604020202020204" pitchFamily="34" charset="0"/>
          </a:endParaRPr>
        </a:p>
      </xdr:txBody>
    </xdr:sp>
    <xdr:clientData/>
  </xdr:twoCellAnchor>
  <xdr:twoCellAnchor>
    <xdr:from>
      <xdr:col>6</xdr:col>
      <xdr:colOff>34722</xdr:colOff>
      <xdr:row>72</xdr:row>
      <xdr:rowOff>125264</xdr:rowOff>
    </xdr:from>
    <xdr:to>
      <xdr:col>6</xdr:col>
      <xdr:colOff>1540566</xdr:colOff>
      <xdr:row>74</xdr:row>
      <xdr:rowOff>72928</xdr:rowOff>
    </xdr:to>
    <xdr:sp macro="" textlink="">
      <xdr:nvSpPr>
        <xdr:cNvPr id="26" name="Textfeld 25">
          <a:extLst>
            <a:ext uri="{FF2B5EF4-FFF2-40B4-BE49-F238E27FC236}">
              <a16:creationId xmlns:a16="http://schemas.microsoft.com/office/drawing/2014/main" id="{00000000-0008-0000-0200-00001A000000}"/>
            </a:ext>
          </a:extLst>
        </xdr:cNvPr>
        <xdr:cNvSpPr txBox="1"/>
      </xdr:nvSpPr>
      <xdr:spPr>
        <a:xfrm>
          <a:off x="5217636" y="9453195"/>
          <a:ext cx="1505844" cy="2761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baseline="0">
              <a:latin typeface="Arial" panose="020B0604020202020204" pitchFamily="34" charset="0"/>
              <a:cs typeface="Arial" panose="020B0604020202020204" pitchFamily="34" charset="0"/>
            </a:rPr>
            <a:t>Mittlere Prognose</a:t>
          </a:r>
          <a:endParaRPr lang="de-DE" sz="900">
            <a:latin typeface="Arial" panose="020B0604020202020204" pitchFamily="34" charset="0"/>
            <a:cs typeface="Arial" panose="020B0604020202020204" pitchFamily="34" charset="0"/>
          </a:endParaRPr>
        </a:p>
      </xdr:txBody>
    </xdr:sp>
    <xdr:clientData/>
  </xdr:twoCellAnchor>
  <xdr:twoCellAnchor>
    <xdr:from>
      <xdr:col>1</xdr:col>
      <xdr:colOff>643806</xdr:colOff>
      <xdr:row>75</xdr:row>
      <xdr:rowOff>34360</xdr:rowOff>
    </xdr:from>
    <xdr:to>
      <xdr:col>3</xdr:col>
      <xdr:colOff>158968</xdr:colOff>
      <xdr:row>77</xdr:row>
      <xdr:rowOff>98533</xdr:rowOff>
    </xdr:to>
    <xdr:sp macro="" textlink="">
      <xdr:nvSpPr>
        <xdr:cNvPr id="31" name="Textfeld 30">
          <a:extLst>
            <a:ext uri="{FF2B5EF4-FFF2-40B4-BE49-F238E27FC236}">
              <a16:creationId xmlns:a16="http://schemas.microsoft.com/office/drawing/2014/main" id="{00000000-0008-0000-0200-00001F000000}"/>
            </a:ext>
          </a:extLst>
        </xdr:cNvPr>
        <xdr:cNvSpPr txBox="1"/>
      </xdr:nvSpPr>
      <xdr:spPr>
        <a:xfrm>
          <a:off x="1405806" y="6767550"/>
          <a:ext cx="1039162" cy="392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a:solidFill>
                <a:srgbClr val="FF0000"/>
              </a:solidFill>
              <a:latin typeface="Arial" panose="020B0604020202020204" pitchFamily="34" charset="0"/>
              <a:cs typeface="Arial" panose="020B0604020202020204" pitchFamily="34" charset="0"/>
            </a:rPr>
            <a:t>Wärmeübertrager dringend reinigen</a:t>
          </a:r>
        </a:p>
      </xdr:txBody>
    </xdr:sp>
    <xdr:clientData/>
  </xdr:twoCellAnchor>
  <xdr:twoCellAnchor>
    <xdr:from>
      <xdr:col>1</xdr:col>
      <xdr:colOff>643806</xdr:colOff>
      <xdr:row>73</xdr:row>
      <xdr:rowOff>107934</xdr:rowOff>
    </xdr:from>
    <xdr:to>
      <xdr:col>3</xdr:col>
      <xdr:colOff>459827</xdr:colOff>
      <xdr:row>76</xdr:row>
      <xdr:rowOff>7882</xdr:rowOff>
    </xdr:to>
    <xdr:sp macro="" textlink="">
      <xdr:nvSpPr>
        <xdr:cNvPr id="32" name="Textfeld 31">
          <a:extLst>
            <a:ext uri="{FF2B5EF4-FFF2-40B4-BE49-F238E27FC236}">
              <a16:creationId xmlns:a16="http://schemas.microsoft.com/office/drawing/2014/main" id="{00000000-0008-0000-0200-000020000000}"/>
            </a:ext>
          </a:extLst>
        </xdr:cNvPr>
        <xdr:cNvSpPr txBox="1"/>
      </xdr:nvSpPr>
      <xdr:spPr>
        <a:xfrm>
          <a:off x="1405806" y="6512675"/>
          <a:ext cx="1340021" cy="392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a:solidFill>
                <a:srgbClr val="B48900"/>
              </a:solidFill>
              <a:latin typeface="Arial" panose="020B0604020202020204" pitchFamily="34" charset="0"/>
              <a:cs typeface="Arial" panose="020B0604020202020204" pitchFamily="34" charset="0"/>
            </a:rPr>
            <a:t>Wärmeübertrager-</a:t>
          </a:r>
          <a:br>
            <a:rPr lang="de-DE" sz="700">
              <a:solidFill>
                <a:srgbClr val="B48900"/>
              </a:solidFill>
              <a:latin typeface="Arial" panose="020B0604020202020204" pitchFamily="34" charset="0"/>
              <a:cs typeface="Arial" panose="020B0604020202020204" pitchFamily="34" charset="0"/>
            </a:rPr>
          </a:br>
          <a:r>
            <a:rPr lang="de-DE" sz="700">
              <a:solidFill>
                <a:srgbClr val="B48900"/>
              </a:solidFill>
              <a:latin typeface="Arial" panose="020B0604020202020204" pitchFamily="34" charset="0"/>
              <a:cs typeface="Arial" panose="020B0604020202020204" pitchFamily="34" charset="0"/>
            </a:rPr>
            <a:t>reinigung</a:t>
          </a:r>
          <a:r>
            <a:rPr lang="de-DE" sz="700" baseline="0">
              <a:solidFill>
                <a:srgbClr val="B48900"/>
              </a:solidFill>
              <a:latin typeface="Arial" panose="020B0604020202020204" pitchFamily="34" charset="0"/>
              <a:cs typeface="Arial" panose="020B0604020202020204" pitchFamily="34" charset="0"/>
            </a:rPr>
            <a:t> planen/vorbereiten</a:t>
          </a:r>
          <a:endParaRPr lang="de-DE" sz="700">
            <a:solidFill>
              <a:srgbClr val="B48900"/>
            </a:solidFill>
            <a:latin typeface="Arial" panose="020B0604020202020204" pitchFamily="34" charset="0"/>
            <a:cs typeface="Arial" panose="020B0604020202020204" pitchFamily="34" charset="0"/>
          </a:endParaRPr>
        </a:p>
      </xdr:txBody>
    </xdr:sp>
    <xdr:clientData/>
  </xdr:twoCellAnchor>
  <xdr:twoCellAnchor>
    <xdr:from>
      <xdr:col>1</xdr:col>
      <xdr:colOff>643806</xdr:colOff>
      <xdr:row>71</xdr:row>
      <xdr:rowOff>160485</xdr:rowOff>
    </xdr:from>
    <xdr:to>
      <xdr:col>3</xdr:col>
      <xdr:colOff>459827</xdr:colOff>
      <xdr:row>74</xdr:row>
      <xdr:rowOff>60433</xdr:rowOff>
    </xdr:to>
    <xdr:sp macro="" textlink="">
      <xdr:nvSpPr>
        <xdr:cNvPr id="33" name="Textfeld 32">
          <a:extLst>
            <a:ext uri="{FF2B5EF4-FFF2-40B4-BE49-F238E27FC236}">
              <a16:creationId xmlns:a16="http://schemas.microsoft.com/office/drawing/2014/main" id="{00000000-0008-0000-0200-000021000000}"/>
            </a:ext>
          </a:extLst>
        </xdr:cNvPr>
        <xdr:cNvSpPr txBox="1"/>
      </xdr:nvSpPr>
      <xdr:spPr>
        <a:xfrm>
          <a:off x="1405806" y="6236778"/>
          <a:ext cx="1340021" cy="392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700">
              <a:solidFill>
                <a:schemeClr val="accent3">
                  <a:lumMod val="50000"/>
                </a:schemeClr>
              </a:solidFill>
              <a:latin typeface="Arial" panose="020B0604020202020204" pitchFamily="34" charset="0"/>
              <a:cs typeface="Arial" panose="020B0604020202020204" pitchFamily="34" charset="0"/>
            </a:rPr>
            <a:t>Wärmeübertrager uneingeschränkt</a:t>
          </a:r>
          <a:r>
            <a:rPr lang="de-DE" sz="700" baseline="0">
              <a:solidFill>
                <a:schemeClr val="accent3">
                  <a:lumMod val="50000"/>
                </a:schemeClr>
              </a:solidFill>
              <a:latin typeface="Arial" panose="020B0604020202020204" pitchFamily="34" charset="0"/>
              <a:cs typeface="Arial" panose="020B0604020202020204" pitchFamily="34" charset="0"/>
            </a:rPr>
            <a:t> nutzbar</a:t>
          </a:r>
          <a:endParaRPr lang="de-DE" sz="700">
            <a:solidFill>
              <a:schemeClr val="accent3">
                <a:lumMod val="50000"/>
              </a:schemeClr>
            </a:solidFill>
            <a:latin typeface="Arial" panose="020B0604020202020204" pitchFamily="34" charset="0"/>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419100</xdr:colOff>
          <xdr:row>37</xdr:row>
          <xdr:rowOff>161925</xdr:rowOff>
        </xdr:from>
        <xdr:to>
          <xdr:col>5</xdr:col>
          <xdr:colOff>733425</xdr:colOff>
          <xdr:row>39</xdr:row>
          <xdr:rowOff>28575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91</xdr:row>
          <xdr:rowOff>104775</xdr:rowOff>
        </xdr:from>
        <xdr:to>
          <xdr:col>5</xdr:col>
          <xdr:colOff>609600</xdr:colOff>
          <xdr:row>93</xdr:row>
          <xdr:rowOff>19050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16</xdr:col>
      <xdr:colOff>428227</xdr:colOff>
      <xdr:row>22</xdr:row>
      <xdr:rowOff>32815</xdr:rowOff>
    </xdr:from>
    <xdr:to>
      <xdr:col>17</xdr:col>
      <xdr:colOff>736389</xdr:colOff>
      <xdr:row>38</xdr:row>
      <xdr:rowOff>136071</xdr:rowOff>
    </xdr:to>
    <xdr:sp macro="" textlink="">
      <xdr:nvSpPr>
        <xdr:cNvPr id="35" name="Textfeld 34">
          <a:extLst>
            <a:ext uri="{FF2B5EF4-FFF2-40B4-BE49-F238E27FC236}">
              <a16:creationId xmlns:a16="http://schemas.microsoft.com/office/drawing/2014/main" id="{00000000-0008-0000-0200-000023000000}"/>
            </a:ext>
          </a:extLst>
        </xdr:cNvPr>
        <xdr:cNvSpPr txBox="1"/>
      </xdr:nvSpPr>
      <xdr:spPr>
        <a:xfrm rot="16200000">
          <a:off x="13634358" y="3958077"/>
          <a:ext cx="2715827" cy="10701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i="0" u="none" strike="noStrike" baseline="0">
              <a:solidFill>
                <a:schemeClr val="dk1"/>
              </a:solidFill>
              <a:latin typeface="Arial" panose="020B0604020202020204" pitchFamily="34" charset="0"/>
              <a:ea typeface="+mn-ea"/>
              <a:cs typeface="Arial" panose="020B0604020202020204" pitchFamily="34" charset="0"/>
            </a:rPr>
            <a:t>Puura und D'Alessandro: Erik Puura und Marco D’Alessandro. „A Classification System for Environmental Pressures</a:t>
          </a:r>
        </a:p>
        <a:p>
          <a:r>
            <a:rPr lang="de-DE" sz="800" b="0" i="0" u="none" strike="noStrike" baseline="0">
              <a:solidFill>
                <a:schemeClr val="dk1"/>
              </a:solidFill>
              <a:latin typeface="Arial" panose="020B0604020202020204" pitchFamily="34" charset="0"/>
              <a:ea typeface="+mn-ea"/>
              <a:cs typeface="Arial" panose="020B0604020202020204" pitchFamily="34" charset="0"/>
            </a:rPr>
            <a:t>Related to Mine Water Discharges“. In: </a:t>
          </a:r>
          <a:r>
            <a:rPr lang="de-DE" sz="800" b="0" i="1" u="none" strike="noStrike" baseline="0">
              <a:solidFill>
                <a:schemeClr val="dk1"/>
              </a:solidFill>
              <a:latin typeface="Arial" panose="020B0604020202020204" pitchFamily="34" charset="0"/>
              <a:ea typeface="+mn-ea"/>
              <a:cs typeface="Arial" panose="020B0604020202020204" pitchFamily="34" charset="0"/>
            </a:rPr>
            <a:t>Mine Water and the Environment </a:t>
          </a:r>
          <a:r>
            <a:rPr lang="de-DE" sz="800" b="0" i="0" u="none" strike="noStrike" baseline="0">
              <a:solidFill>
                <a:schemeClr val="dk1"/>
              </a:solidFill>
              <a:latin typeface="Arial" panose="020B0604020202020204" pitchFamily="34" charset="0"/>
              <a:ea typeface="+mn-ea"/>
              <a:cs typeface="Arial" panose="020B0604020202020204" pitchFamily="34" charset="0"/>
            </a:rPr>
            <a:t>24.1</a:t>
          </a:r>
        </a:p>
        <a:p>
          <a:r>
            <a:rPr lang="de-DE" sz="800" b="0" i="0" u="none" strike="noStrike" baseline="0">
              <a:solidFill>
                <a:schemeClr val="dk1"/>
              </a:solidFill>
              <a:latin typeface="Arial" panose="020B0604020202020204" pitchFamily="34" charset="0"/>
              <a:ea typeface="+mn-ea"/>
              <a:cs typeface="Arial" panose="020B0604020202020204" pitchFamily="34" charset="0"/>
            </a:rPr>
            <a:t>(2005), S. 43–52. ISSN: 1025-9112. DOI: 10.1007/s10230-005-0070-6.</a:t>
          </a:r>
          <a:endParaRPr lang="de-DE" sz="800">
            <a:latin typeface="Arial" panose="020B0604020202020204" pitchFamily="34" charset="0"/>
            <a:cs typeface="Arial" panose="020B0604020202020204" pitchFamily="34" charset="0"/>
          </a:endParaRPr>
        </a:p>
      </xdr:txBody>
    </xdr:sp>
    <xdr:clientData/>
  </xdr:twoCellAnchor>
  <xdr:twoCellAnchor>
    <xdr:from>
      <xdr:col>5</xdr:col>
      <xdr:colOff>876300</xdr:colOff>
      <xdr:row>71</xdr:row>
      <xdr:rowOff>113109</xdr:rowOff>
    </xdr:from>
    <xdr:to>
      <xdr:col>6</xdr:col>
      <xdr:colOff>36909</xdr:colOff>
      <xdr:row>71</xdr:row>
      <xdr:rowOff>113109</xdr:rowOff>
    </xdr:to>
    <xdr:cxnSp macro="">
      <xdr:nvCxnSpPr>
        <xdr:cNvPr id="6" name="Gerader Verbinder 5">
          <a:extLst>
            <a:ext uri="{FF2B5EF4-FFF2-40B4-BE49-F238E27FC236}">
              <a16:creationId xmlns:a16="http://schemas.microsoft.com/office/drawing/2014/main" id="{00000000-0008-0000-0200-000006000000}"/>
            </a:ext>
          </a:extLst>
        </xdr:cNvPr>
        <xdr:cNvCxnSpPr/>
      </xdr:nvCxnSpPr>
      <xdr:spPr>
        <a:xfrm>
          <a:off x="4983956" y="8995172"/>
          <a:ext cx="238125" cy="0"/>
        </a:xfrm>
        <a:prstGeom prst="line">
          <a:avLst/>
        </a:prstGeom>
        <a:ln w="19050">
          <a:solidFill>
            <a:srgbClr val="00B05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876300</xdr:colOff>
      <xdr:row>73</xdr:row>
      <xdr:rowOff>75009</xdr:rowOff>
    </xdr:from>
    <xdr:to>
      <xdr:col>6</xdr:col>
      <xdr:colOff>36909</xdr:colOff>
      <xdr:row>73</xdr:row>
      <xdr:rowOff>75009</xdr:rowOff>
    </xdr:to>
    <xdr:cxnSp macro="">
      <xdr:nvCxnSpPr>
        <xdr:cNvPr id="36" name="Gerader Verbinder 35">
          <a:extLst>
            <a:ext uri="{FF2B5EF4-FFF2-40B4-BE49-F238E27FC236}">
              <a16:creationId xmlns:a16="http://schemas.microsoft.com/office/drawing/2014/main" id="{00000000-0008-0000-0200-000024000000}"/>
            </a:ext>
          </a:extLst>
        </xdr:cNvPr>
        <xdr:cNvCxnSpPr/>
      </xdr:nvCxnSpPr>
      <xdr:spPr>
        <a:xfrm>
          <a:off x="4983956" y="9278540"/>
          <a:ext cx="238125" cy="0"/>
        </a:xfrm>
        <a:prstGeom prst="line">
          <a:avLst/>
        </a:prstGeom>
        <a:ln w="19050">
          <a:solidFill>
            <a:srgbClr val="B489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876300</xdr:colOff>
      <xdr:row>75</xdr:row>
      <xdr:rowOff>13096</xdr:rowOff>
    </xdr:from>
    <xdr:to>
      <xdr:col>6</xdr:col>
      <xdr:colOff>36909</xdr:colOff>
      <xdr:row>75</xdr:row>
      <xdr:rowOff>13096</xdr:rowOff>
    </xdr:to>
    <xdr:cxnSp macro="">
      <xdr:nvCxnSpPr>
        <xdr:cNvPr id="37" name="Gerader Verbinder 36">
          <a:extLst>
            <a:ext uri="{FF2B5EF4-FFF2-40B4-BE49-F238E27FC236}">
              <a16:creationId xmlns:a16="http://schemas.microsoft.com/office/drawing/2014/main" id="{00000000-0008-0000-0200-000025000000}"/>
            </a:ext>
          </a:extLst>
        </xdr:cNvPr>
        <xdr:cNvCxnSpPr/>
      </xdr:nvCxnSpPr>
      <xdr:spPr>
        <a:xfrm>
          <a:off x="4983956" y="9538096"/>
          <a:ext cx="238125" cy="0"/>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565546</xdr:colOff>
      <xdr:row>10</xdr:row>
      <xdr:rowOff>33440</xdr:rowOff>
    </xdr:from>
    <xdr:to>
      <xdr:col>5</xdr:col>
      <xdr:colOff>1142195</xdr:colOff>
      <xdr:row>14</xdr:row>
      <xdr:rowOff>137622</xdr:rowOff>
    </xdr:to>
    <xdr:pic>
      <xdr:nvPicPr>
        <xdr:cNvPr id="23" name="Grafik 22">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65546" y="1666297"/>
          <a:ext cx="4876506" cy="757325"/>
        </a:xfrm>
        <a:prstGeom prst="rect">
          <a:avLst/>
        </a:prstGeom>
      </xdr:spPr>
    </xdr:pic>
    <xdr:clientData/>
  </xdr:twoCellAnchor>
  <xdr:twoCellAnchor>
    <xdr:from>
      <xdr:col>0</xdr:col>
      <xdr:colOff>704850</xdr:colOff>
      <xdr:row>7</xdr:row>
      <xdr:rowOff>56036</xdr:rowOff>
    </xdr:from>
    <xdr:to>
      <xdr:col>5</xdr:col>
      <xdr:colOff>1023257</xdr:colOff>
      <xdr:row>15</xdr:row>
      <xdr:rowOff>88535</xdr:rowOff>
    </xdr:to>
    <xdr:graphicFrame macro="">
      <xdr:nvGraphicFramePr>
        <xdr:cNvPr id="24" name="Diagramm 23">
          <a:extLst>
            <a:ext uri="{FF2B5EF4-FFF2-40B4-BE49-F238E27FC236}">
              <a16:creationId xmlns:a16="http://schemas.microsoft.com/office/drawing/2014/main" id="{00000000-0008-0000-02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197828</xdr:colOff>
      <xdr:row>56</xdr:row>
      <xdr:rowOff>6527</xdr:rowOff>
    </xdr:from>
    <xdr:to>
      <xdr:col>5</xdr:col>
      <xdr:colOff>521806</xdr:colOff>
      <xdr:row>64</xdr:row>
      <xdr:rowOff>39026</xdr:rowOff>
    </xdr:to>
    <xdr:graphicFrame macro="">
      <xdr:nvGraphicFramePr>
        <xdr:cNvPr id="43" name="Diagramm 42">
          <a:extLst>
            <a:ext uri="{FF2B5EF4-FFF2-40B4-BE49-F238E27FC236}">
              <a16:creationId xmlns:a16="http://schemas.microsoft.com/office/drawing/2014/main" id="{00000000-0008-0000-0200-00002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4751</xdr:colOff>
      <xdr:row>55</xdr:row>
      <xdr:rowOff>161125</xdr:rowOff>
    </xdr:from>
    <xdr:to>
      <xdr:col>6</xdr:col>
      <xdr:colOff>941984</xdr:colOff>
      <xdr:row>64</xdr:row>
      <xdr:rowOff>31700</xdr:rowOff>
    </xdr:to>
    <xdr:graphicFrame macro="">
      <xdr:nvGraphicFramePr>
        <xdr:cNvPr id="44" name="Diagramm 43">
          <a:extLst>
            <a:ext uri="{FF2B5EF4-FFF2-40B4-BE49-F238E27FC236}">
              <a16:creationId xmlns:a16="http://schemas.microsoft.com/office/drawing/2014/main" id="{00000000-0008-0000-0200-00002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556846</xdr:colOff>
      <xdr:row>56</xdr:row>
      <xdr:rowOff>6527</xdr:rowOff>
    </xdr:from>
    <xdr:to>
      <xdr:col>3</xdr:col>
      <xdr:colOff>362415</xdr:colOff>
      <xdr:row>64</xdr:row>
      <xdr:rowOff>39027</xdr:rowOff>
    </xdr:to>
    <xdr:graphicFrame macro="">
      <xdr:nvGraphicFramePr>
        <xdr:cNvPr id="46" name="Diagramm 45">
          <a:extLst>
            <a:ext uri="{FF2B5EF4-FFF2-40B4-BE49-F238E27FC236}">
              <a16:creationId xmlns:a16="http://schemas.microsoft.com/office/drawing/2014/main" id="{00000000-0008-0000-0200-00002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320926</xdr:colOff>
      <xdr:row>7</xdr:row>
      <xdr:rowOff>56036</xdr:rowOff>
    </xdr:from>
    <xdr:to>
      <xdr:col>7</xdr:col>
      <xdr:colOff>882342</xdr:colOff>
      <xdr:row>15</xdr:row>
      <xdr:rowOff>88535</xdr:rowOff>
    </xdr:to>
    <xdr:graphicFrame macro="">
      <xdr:nvGraphicFramePr>
        <xdr:cNvPr id="47" name="Diagramm 46">
          <a:extLst>
            <a:ext uri="{FF2B5EF4-FFF2-40B4-BE49-F238E27FC236}">
              <a16:creationId xmlns:a16="http://schemas.microsoft.com/office/drawing/2014/main" id="{00000000-0008-0000-0200-00002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305652</xdr:colOff>
      <xdr:row>5</xdr:row>
      <xdr:rowOff>87039</xdr:rowOff>
    </xdr:from>
    <xdr:to>
      <xdr:col>13</xdr:col>
      <xdr:colOff>236964</xdr:colOff>
      <xdr:row>6</xdr:row>
      <xdr:rowOff>23408</xdr:rowOff>
    </xdr:to>
    <xdr:sp macro="" textlink="">
      <xdr:nvSpPr>
        <xdr:cNvPr id="2" name="Eckige Klammer links 1">
          <a:extLst>
            <a:ext uri="{FF2B5EF4-FFF2-40B4-BE49-F238E27FC236}">
              <a16:creationId xmlns:a16="http://schemas.microsoft.com/office/drawing/2014/main" id="{00000000-0008-0000-0200-000002000000}"/>
            </a:ext>
          </a:extLst>
        </xdr:cNvPr>
        <xdr:cNvSpPr/>
      </xdr:nvSpPr>
      <xdr:spPr>
        <a:xfrm rot="5400000">
          <a:off x="10761574" y="-215233"/>
          <a:ext cx="98294" cy="2322087"/>
        </a:xfrm>
        <a:prstGeom prst="leftBracket">
          <a:avLst>
            <a:gd name="adj" fmla="val 10301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a:p>
      </xdr:txBody>
    </xdr:sp>
    <xdr:clientData/>
  </xdr:twoCellAnchor>
  <xdr:twoCellAnchor>
    <xdr:from>
      <xdr:col>10</xdr:col>
      <xdr:colOff>461807</xdr:colOff>
      <xdr:row>4</xdr:row>
      <xdr:rowOff>15323</xdr:rowOff>
    </xdr:from>
    <xdr:to>
      <xdr:col>13</xdr:col>
      <xdr:colOff>80807</xdr:colOff>
      <xdr:row>4</xdr:row>
      <xdr:rowOff>160683</xdr:rowOff>
    </xdr:to>
    <xdr:sp macro="" textlink="">
      <xdr:nvSpPr>
        <xdr:cNvPr id="10" name="Textfeld 9">
          <a:extLst>
            <a:ext uri="{FF2B5EF4-FFF2-40B4-BE49-F238E27FC236}">
              <a16:creationId xmlns:a16="http://schemas.microsoft.com/office/drawing/2014/main" id="{00000000-0008-0000-0200-00000A000000}"/>
            </a:ext>
          </a:extLst>
        </xdr:cNvPr>
        <xdr:cNvSpPr txBox="1"/>
      </xdr:nvSpPr>
      <xdr:spPr>
        <a:xfrm>
          <a:off x="9805832" y="663023"/>
          <a:ext cx="2009775" cy="1453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50">
              <a:latin typeface="Arial" panose="020B0604020202020204" pitchFamily="34" charset="0"/>
              <a:cs typeface="Arial" panose="020B0604020202020204" pitchFamily="34" charset="0"/>
            </a:rPr>
            <a:t>Foulingbewertung</a:t>
          </a:r>
          <a:endParaRPr lang="de-DE" sz="1100">
            <a:latin typeface="Arial" panose="020B0604020202020204" pitchFamily="34" charset="0"/>
            <a:cs typeface="Arial" panose="020B0604020202020204" pitchFamily="34" charset="0"/>
          </a:endParaRPr>
        </a:p>
      </xdr:txBody>
    </xdr:sp>
    <xdr:clientData/>
  </xdr:twoCellAnchor>
  <xdr:twoCellAnchor>
    <xdr:from>
      <xdr:col>10</xdr:col>
      <xdr:colOff>308963</xdr:colOff>
      <xdr:row>3</xdr:row>
      <xdr:rowOff>106431</xdr:rowOff>
    </xdr:from>
    <xdr:to>
      <xdr:col>15</xdr:col>
      <xdr:colOff>372718</xdr:colOff>
      <xdr:row>6</xdr:row>
      <xdr:rowOff>18441</xdr:rowOff>
    </xdr:to>
    <xdr:sp macro="" textlink="">
      <xdr:nvSpPr>
        <xdr:cNvPr id="45" name="Eckige Klammer links 44">
          <a:extLst>
            <a:ext uri="{FF2B5EF4-FFF2-40B4-BE49-F238E27FC236}">
              <a16:creationId xmlns:a16="http://schemas.microsoft.com/office/drawing/2014/main" id="{00000000-0008-0000-0200-00002D000000}"/>
            </a:ext>
          </a:extLst>
        </xdr:cNvPr>
        <xdr:cNvSpPr/>
      </xdr:nvSpPr>
      <xdr:spPr>
        <a:xfrm rot="5400000">
          <a:off x="11443360" y="-1198166"/>
          <a:ext cx="397785" cy="3978530"/>
        </a:xfrm>
        <a:prstGeom prst="leftBracket">
          <a:avLst>
            <a:gd name="adj" fmla="val 8349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de-DE" sz="1100"/>
        </a:p>
      </xdr:txBody>
    </xdr:sp>
    <xdr:clientData/>
  </xdr:twoCellAnchor>
  <xdr:twoCellAnchor>
    <xdr:from>
      <xdr:col>11</xdr:col>
      <xdr:colOff>531341</xdr:colOff>
      <xdr:row>2</xdr:row>
      <xdr:rowOff>65019</xdr:rowOff>
    </xdr:from>
    <xdr:to>
      <xdr:col>14</xdr:col>
      <xdr:colOff>150341</xdr:colOff>
      <xdr:row>3</xdr:row>
      <xdr:rowOff>48454</xdr:rowOff>
    </xdr:to>
    <xdr:sp macro="" textlink="">
      <xdr:nvSpPr>
        <xdr:cNvPr id="48" name="Textfeld 47">
          <a:extLst>
            <a:ext uri="{FF2B5EF4-FFF2-40B4-BE49-F238E27FC236}">
              <a16:creationId xmlns:a16="http://schemas.microsoft.com/office/drawing/2014/main" id="{00000000-0008-0000-0200-000030000000}"/>
            </a:ext>
          </a:extLst>
        </xdr:cNvPr>
        <xdr:cNvSpPr txBox="1"/>
      </xdr:nvSpPr>
      <xdr:spPr>
        <a:xfrm>
          <a:off x="10637366" y="388869"/>
          <a:ext cx="2009775" cy="1453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50">
              <a:latin typeface="Arial" panose="020B0604020202020204" pitchFamily="34" charset="0"/>
              <a:cs typeface="Arial" panose="020B0604020202020204" pitchFamily="34" charset="0"/>
            </a:rPr>
            <a:t>Gesamtbewertung</a:t>
          </a:r>
          <a:endParaRPr lang="de-DE" sz="1100">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9035</xdr:colOff>
      <xdr:row>52</xdr:row>
      <xdr:rowOff>8283</xdr:rowOff>
    </xdr:from>
    <xdr:to>
      <xdr:col>20</xdr:col>
      <xdr:colOff>803413</xdr:colOff>
      <xdr:row>72</xdr:row>
      <xdr:rowOff>3766</xdr:rowOff>
    </xdr:to>
    <xdr:sp macro="" textlink="">
      <xdr:nvSpPr>
        <xdr:cNvPr id="15" name="Rechteck 14">
          <a:extLst>
            <a:ext uri="{FF2B5EF4-FFF2-40B4-BE49-F238E27FC236}">
              <a16:creationId xmlns:a16="http://schemas.microsoft.com/office/drawing/2014/main" id="{00000000-0008-0000-0300-00000F000000}"/>
            </a:ext>
          </a:extLst>
        </xdr:cNvPr>
        <xdr:cNvSpPr/>
      </xdr:nvSpPr>
      <xdr:spPr>
        <a:xfrm>
          <a:off x="8908106" y="8485533"/>
          <a:ext cx="9312450" cy="3261197"/>
        </a:xfrm>
        <a:prstGeom prst="rect">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456450</xdr:colOff>
      <xdr:row>51</xdr:row>
      <xdr:rowOff>144738</xdr:rowOff>
    </xdr:from>
    <xdr:to>
      <xdr:col>6</xdr:col>
      <xdr:colOff>456450</xdr:colOff>
      <xdr:row>71</xdr:row>
      <xdr:rowOff>0</xdr:rowOff>
    </xdr:to>
    <xdr:graphicFrame macro="">
      <xdr:nvGraphicFramePr>
        <xdr:cNvPr id="2" name="Diagramm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448235</xdr:colOff>
      <xdr:row>54</xdr:row>
      <xdr:rowOff>146759</xdr:rowOff>
    </xdr:from>
    <xdr:to>
      <xdr:col>6</xdr:col>
      <xdr:colOff>1064559</xdr:colOff>
      <xdr:row>69</xdr:row>
      <xdr:rowOff>156844</xdr:rowOff>
    </xdr:to>
    <xdr:graphicFrame macro="">
      <xdr:nvGraphicFramePr>
        <xdr:cNvPr id="4" name="Diagramm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491946</xdr:colOff>
      <xdr:row>55</xdr:row>
      <xdr:rowOff>115099</xdr:rowOff>
    </xdr:from>
    <xdr:to>
      <xdr:col>6</xdr:col>
      <xdr:colOff>1110355</xdr:colOff>
      <xdr:row>70</xdr:row>
      <xdr:rowOff>8282</xdr:rowOff>
    </xdr:to>
    <xdr:sp macro="" textlink="">
      <xdr:nvSpPr>
        <xdr:cNvPr id="3" name="Gleichschenkliges Dreieck 2">
          <a:extLst>
            <a:ext uri="{FF2B5EF4-FFF2-40B4-BE49-F238E27FC236}">
              <a16:creationId xmlns:a16="http://schemas.microsoft.com/office/drawing/2014/main" id="{00000000-0008-0000-0300-000003000000}"/>
            </a:ext>
          </a:extLst>
        </xdr:cNvPr>
        <xdr:cNvSpPr/>
      </xdr:nvSpPr>
      <xdr:spPr>
        <a:xfrm rot="10800000">
          <a:off x="5814740" y="8732423"/>
          <a:ext cx="618409" cy="2246418"/>
        </a:xfrm>
        <a:prstGeom prst="triangle">
          <a:avLst/>
        </a:prstGeom>
        <a:gradFill>
          <a:gsLst>
            <a:gs pos="0">
              <a:srgbClr val="FF0000"/>
            </a:gs>
            <a:gs pos="74000">
              <a:schemeClr val="bg2">
                <a:lumMod val="75000"/>
              </a:schemeClr>
            </a:gs>
            <a:gs pos="83000">
              <a:schemeClr val="accent3">
                <a:lumMod val="40000"/>
                <a:lumOff val="60000"/>
              </a:schemeClr>
            </a:gs>
            <a:gs pos="100000">
              <a:schemeClr val="accent3"/>
            </a:gs>
          </a:gsLst>
          <a:lin ang="5400000" scaled="1"/>
        </a:gra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6</xdr:col>
      <xdr:colOff>1116536</xdr:colOff>
      <xdr:row>55</xdr:row>
      <xdr:rowOff>71645</xdr:rowOff>
    </xdr:from>
    <xdr:to>
      <xdr:col>8</xdr:col>
      <xdr:colOff>706174</xdr:colOff>
      <xdr:row>60</xdr:row>
      <xdr:rowOff>4948</xdr:rowOff>
    </xdr:to>
    <xdr:sp macro="" textlink="">
      <xdr:nvSpPr>
        <xdr:cNvPr id="5" name="Textfeld 4">
          <a:extLst>
            <a:ext uri="{FF2B5EF4-FFF2-40B4-BE49-F238E27FC236}">
              <a16:creationId xmlns:a16="http://schemas.microsoft.com/office/drawing/2014/main" id="{00000000-0008-0000-0300-000005000000}"/>
            </a:ext>
          </a:extLst>
        </xdr:cNvPr>
        <xdr:cNvSpPr txBox="1"/>
      </xdr:nvSpPr>
      <xdr:spPr>
        <a:xfrm>
          <a:off x="6439330" y="8688969"/>
          <a:ext cx="1505844" cy="7177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atin typeface="Arial" panose="020B0604020202020204" pitchFamily="34" charset="0"/>
              <a:cs typeface="Arial" panose="020B0604020202020204" pitchFamily="34" charset="0"/>
            </a:rPr>
            <a:t>wenig Ablagerungen durch</a:t>
          </a:r>
          <a:r>
            <a:rPr lang="de-DE" sz="900" baseline="0">
              <a:latin typeface="Arial" panose="020B0604020202020204" pitchFamily="34" charset="0"/>
              <a:cs typeface="Arial" panose="020B0604020202020204" pitchFamily="34" charset="0"/>
            </a:rPr>
            <a:t> Fouling → </a:t>
          </a:r>
          <a:br>
            <a:rPr lang="de-DE" sz="900" baseline="0">
              <a:latin typeface="Arial" panose="020B0604020202020204" pitchFamily="34" charset="0"/>
              <a:cs typeface="Arial" panose="020B0604020202020204" pitchFamily="34" charset="0"/>
            </a:rPr>
          </a:br>
          <a:r>
            <a:rPr lang="de-DE" sz="900" baseline="0">
              <a:latin typeface="Arial" panose="020B0604020202020204" pitchFamily="34" charset="0"/>
              <a:cs typeface="Arial" panose="020B0604020202020204" pitchFamily="34" charset="0"/>
            </a:rPr>
            <a:t>geringe Reduktion </a:t>
          </a:r>
          <a:br>
            <a:rPr lang="de-DE" sz="900" baseline="0">
              <a:latin typeface="Arial" panose="020B0604020202020204" pitchFamily="34" charset="0"/>
              <a:cs typeface="Arial" panose="020B0604020202020204" pitchFamily="34" charset="0"/>
            </a:rPr>
          </a:br>
          <a:r>
            <a:rPr lang="de-DE" sz="900" baseline="0">
              <a:latin typeface="Arial" panose="020B0604020202020204" pitchFamily="34" charset="0"/>
              <a:cs typeface="Arial" panose="020B0604020202020204" pitchFamily="34" charset="0"/>
            </a:rPr>
            <a:t>Heiz-/ Kühlleistung</a:t>
          </a:r>
          <a:endParaRPr lang="de-DE" sz="900">
            <a:latin typeface="Arial" panose="020B0604020202020204" pitchFamily="34" charset="0"/>
            <a:cs typeface="Arial" panose="020B0604020202020204" pitchFamily="34" charset="0"/>
          </a:endParaRPr>
        </a:p>
      </xdr:txBody>
    </xdr:sp>
    <xdr:clientData/>
  </xdr:twoCellAnchor>
  <xdr:twoCellAnchor>
    <xdr:from>
      <xdr:col>6</xdr:col>
      <xdr:colOff>1116536</xdr:colOff>
      <xdr:row>66</xdr:row>
      <xdr:rowOff>69733</xdr:rowOff>
    </xdr:from>
    <xdr:to>
      <xdr:col>8</xdr:col>
      <xdr:colOff>706174</xdr:colOff>
      <xdr:row>71</xdr:row>
      <xdr:rowOff>3037</xdr:rowOff>
    </xdr:to>
    <xdr:sp macro="" textlink="">
      <xdr:nvSpPr>
        <xdr:cNvPr id="6" name="Textfeld 5">
          <a:extLst>
            <a:ext uri="{FF2B5EF4-FFF2-40B4-BE49-F238E27FC236}">
              <a16:creationId xmlns:a16="http://schemas.microsoft.com/office/drawing/2014/main" id="{00000000-0008-0000-0300-000006000000}"/>
            </a:ext>
          </a:extLst>
        </xdr:cNvPr>
        <xdr:cNvSpPr txBox="1"/>
      </xdr:nvSpPr>
      <xdr:spPr>
        <a:xfrm>
          <a:off x="6439330" y="10412762"/>
          <a:ext cx="1505844" cy="717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900">
              <a:latin typeface="Arial" panose="020B0604020202020204" pitchFamily="34" charset="0"/>
              <a:cs typeface="Arial" panose="020B0604020202020204" pitchFamily="34" charset="0"/>
            </a:rPr>
            <a:t>viel Ablagerungen durch</a:t>
          </a:r>
          <a:r>
            <a:rPr lang="de-DE" sz="900" baseline="0">
              <a:latin typeface="Arial" panose="020B0604020202020204" pitchFamily="34" charset="0"/>
              <a:cs typeface="Arial" panose="020B0604020202020204" pitchFamily="34" charset="0"/>
            </a:rPr>
            <a:t> Fouling → </a:t>
          </a:r>
          <a:br>
            <a:rPr lang="de-DE" sz="900" baseline="0">
              <a:latin typeface="Arial" panose="020B0604020202020204" pitchFamily="34" charset="0"/>
              <a:cs typeface="Arial" panose="020B0604020202020204" pitchFamily="34" charset="0"/>
            </a:rPr>
          </a:br>
          <a:r>
            <a:rPr lang="de-DE" sz="900" baseline="0">
              <a:latin typeface="Arial" panose="020B0604020202020204" pitchFamily="34" charset="0"/>
              <a:cs typeface="Arial" panose="020B0604020202020204" pitchFamily="34" charset="0"/>
            </a:rPr>
            <a:t>sehr starke Reduktion </a:t>
          </a:r>
          <a:br>
            <a:rPr lang="de-DE" sz="900" baseline="0">
              <a:latin typeface="Arial" panose="020B0604020202020204" pitchFamily="34" charset="0"/>
              <a:cs typeface="Arial" panose="020B0604020202020204" pitchFamily="34" charset="0"/>
            </a:rPr>
          </a:br>
          <a:r>
            <a:rPr lang="de-DE" sz="900" baseline="0">
              <a:latin typeface="Arial" panose="020B0604020202020204" pitchFamily="34" charset="0"/>
              <a:cs typeface="Arial" panose="020B0604020202020204" pitchFamily="34" charset="0"/>
            </a:rPr>
            <a:t>Heiz-/ Kühlleistung</a:t>
          </a:r>
          <a:endParaRPr lang="de-DE" sz="900">
            <a:latin typeface="Arial" panose="020B0604020202020204" pitchFamily="34" charset="0"/>
            <a:cs typeface="Arial" panose="020B0604020202020204" pitchFamily="34" charset="0"/>
          </a:endParaRPr>
        </a:p>
      </xdr:txBody>
    </xdr:sp>
    <xdr:clientData/>
  </xdr:twoCellAnchor>
  <xdr:twoCellAnchor editAs="oneCell">
    <xdr:from>
      <xdr:col>1</xdr:col>
      <xdr:colOff>72471</xdr:colOff>
      <xdr:row>86</xdr:row>
      <xdr:rowOff>49128</xdr:rowOff>
    </xdr:from>
    <xdr:to>
      <xdr:col>1</xdr:col>
      <xdr:colOff>321573</xdr:colOff>
      <xdr:row>87</xdr:row>
      <xdr:rowOff>139076</xdr:rowOff>
    </xdr:to>
    <xdr:pic>
      <xdr:nvPicPr>
        <xdr:cNvPr id="7" name="Grafik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a:stretch>
          <a:fillRect/>
        </a:stretch>
      </xdr:blipFill>
      <xdr:spPr>
        <a:xfrm>
          <a:off x="834471" y="14270367"/>
          <a:ext cx="249102" cy="255600"/>
        </a:xfrm>
        <a:prstGeom prst="rect">
          <a:avLst/>
        </a:prstGeom>
      </xdr:spPr>
    </xdr:pic>
    <xdr:clientData/>
  </xdr:twoCellAnchor>
  <xdr:twoCellAnchor editAs="oneCell">
    <xdr:from>
      <xdr:col>1</xdr:col>
      <xdr:colOff>43896</xdr:colOff>
      <xdr:row>80</xdr:row>
      <xdr:rowOff>48314</xdr:rowOff>
    </xdr:from>
    <xdr:to>
      <xdr:col>1</xdr:col>
      <xdr:colOff>294446</xdr:colOff>
      <xdr:row>81</xdr:row>
      <xdr:rowOff>139751</xdr:rowOff>
    </xdr:to>
    <xdr:pic>
      <xdr:nvPicPr>
        <xdr:cNvPr id="8" name="Grafik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4"/>
        <a:stretch>
          <a:fillRect/>
        </a:stretch>
      </xdr:blipFill>
      <xdr:spPr>
        <a:xfrm>
          <a:off x="805896" y="12983264"/>
          <a:ext cx="250550" cy="253362"/>
        </a:xfrm>
        <a:prstGeom prst="rect">
          <a:avLst/>
        </a:prstGeom>
      </xdr:spPr>
    </xdr:pic>
    <xdr:clientData/>
  </xdr:twoCellAnchor>
  <xdr:twoCellAnchor editAs="oneCell">
    <xdr:from>
      <xdr:col>10</xdr:col>
      <xdr:colOff>205781</xdr:colOff>
      <xdr:row>53</xdr:row>
      <xdr:rowOff>68254</xdr:rowOff>
    </xdr:from>
    <xdr:to>
      <xdr:col>14</xdr:col>
      <xdr:colOff>402154</xdr:colOff>
      <xdr:row>69</xdr:row>
      <xdr:rowOff>56030</xdr:rowOff>
    </xdr:to>
    <xdr:pic>
      <xdr:nvPicPr>
        <xdr:cNvPr id="10" name="Grafik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104852" y="8708790"/>
          <a:ext cx="4213821" cy="2600347"/>
        </a:xfrm>
        <a:prstGeom prst="rect">
          <a:avLst/>
        </a:prstGeom>
      </xdr:spPr>
    </xdr:pic>
    <xdr:clientData/>
  </xdr:twoCellAnchor>
  <xdr:twoCellAnchor editAs="oneCell">
    <xdr:from>
      <xdr:col>15</xdr:col>
      <xdr:colOff>380337</xdr:colOff>
      <xdr:row>53</xdr:row>
      <xdr:rowOff>96564</xdr:rowOff>
    </xdr:from>
    <xdr:to>
      <xdr:col>20</xdr:col>
      <xdr:colOff>489446</xdr:colOff>
      <xdr:row>69</xdr:row>
      <xdr:rowOff>28227</xdr:rowOff>
    </xdr:to>
    <xdr:pic>
      <xdr:nvPicPr>
        <xdr:cNvPr id="14" name="Grafik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a:xfrm>
          <a:off x="13635126" y="8583840"/>
          <a:ext cx="4403564" cy="2498400"/>
        </a:xfrm>
        <a:prstGeom prst="rect">
          <a:avLst/>
        </a:prstGeom>
      </xdr:spPr>
    </xdr:pic>
    <xdr:clientData/>
  </xdr:twoCellAnchor>
  <xdr:twoCellAnchor>
    <xdr:from>
      <xdr:col>10</xdr:col>
      <xdr:colOff>9035</xdr:colOff>
      <xdr:row>72</xdr:row>
      <xdr:rowOff>0</xdr:rowOff>
    </xdr:from>
    <xdr:to>
      <xdr:col>20</xdr:col>
      <xdr:colOff>803413</xdr:colOff>
      <xdr:row>73</xdr:row>
      <xdr:rowOff>162242</xdr:rowOff>
    </xdr:to>
    <xdr:sp macro="" textlink="">
      <xdr:nvSpPr>
        <xdr:cNvPr id="16" name="Rechteck 15">
          <a:extLst>
            <a:ext uri="{FF2B5EF4-FFF2-40B4-BE49-F238E27FC236}">
              <a16:creationId xmlns:a16="http://schemas.microsoft.com/office/drawing/2014/main" id="{00000000-0008-0000-0300-000010000000}"/>
            </a:ext>
          </a:extLst>
        </xdr:cNvPr>
        <xdr:cNvSpPr/>
      </xdr:nvSpPr>
      <xdr:spPr>
        <a:xfrm>
          <a:off x="8830013" y="11902109"/>
          <a:ext cx="9284052" cy="327894"/>
        </a:xfrm>
        <a:prstGeom prst="rect">
          <a:avLst/>
        </a:prstGeom>
        <a:solidFill>
          <a:schemeClr val="bg1">
            <a:lumMod val="95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35219</xdr:colOff>
      <xdr:row>72</xdr:row>
      <xdr:rowOff>4803</xdr:rowOff>
    </xdr:from>
    <xdr:to>
      <xdr:col>20</xdr:col>
      <xdr:colOff>280148</xdr:colOff>
      <xdr:row>77</xdr:row>
      <xdr:rowOff>32016</xdr:rowOff>
    </xdr:to>
    <xdr:sp macro="" textlink="">
      <xdr:nvSpPr>
        <xdr:cNvPr id="17" name="Textfeld 16">
          <a:extLst>
            <a:ext uri="{FF2B5EF4-FFF2-40B4-BE49-F238E27FC236}">
              <a16:creationId xmlns:a16="http://schemas.microsoft.com/office/drawing/2014/main" id="{00000000-0008-0000-0300-000011000000}"/>
            </a:ext>
          </a:extLst>
        </xdr:cNvPr>
        <xdr:cNvSpPr txBox="1"/>
      </xdr:nvSpPr>
      <xdr:spPr>
        <a:xfrm>
          <a:off x="8854248" y="11289127"/>
          <a:ext cx="8738988" cy="811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Arial" panose="020B0604020202020204" pitchFamily="34" charset="0"/>
              <a:cs typeface="Arial" panose="020B0604020202020204" pitchFamily="34" charset="0"/>
            </a:rPr>
            <a:t>Abb. 5 Lesebeispiele für die Diagramme zum</a:t>
          </a:r>
          <a:r>
            <a:rPr lang="de-DE" sz="1000" baseline="0">
              <a:latin typeface="Arial" panose="020B0604020202020204" pitchFamily="34" charset="0"/>
              <a:cs typeface="Arial" panose="020B0604020202020204" pitchFamily="34" charset="0"/>
            </a:rPr>
            <a:t> Materialvergleich</a:t>
          </a:r>
          <a:endParaRPr lang="de-DE" sz="1000">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56</xdr:row>
      <xdr:rowOff>72172</xdr:rowOff>
    </xdr:from>
    <xdr:to>
      <xdr:col>3</xdr:col>
      <xdr:colOff>715935</xdr:colOff>
      <xdr:row>76</xdr:row>
      <xdr:rowOff>50573</xdr:rowOff>
    </xdr:to>
    <xdr:graphicFrame macro="">
      <xdr:nvGraphicFramePr>
        <xdr:cNvPr id="8" name="Chart 4">
          <a:extLst>
            <a:ext uri="{FF2B5EF4-FFF2-40B4-BE49-F238E27FC236}">
              <a16:creationId xmlns:a16="http://schemas.microsoft.com/office/drawing/2014/main" id="{00000000-0008-0000-0E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16</xdr:col>
      <xdr:colOff>0</xdr:colOff>
      <xdr:row>49</xdr:row>
      <xdr:rowOff>39600</xdr:rowOff>
    </xdr:from>
    <xdr:to>
      <xdr:col>20</xdr:col>
      <xdr:colOff>714600</xdr:colOff>
      <xdr:row>66</xdr:row>
      <xdr:rowOff>59400</xdr:rowOff>
    </xdr:to>
    <xdr:graphicFrame macro="">
      <xdr:nvGraphicFramePr>
        <xdr:cNvPr id="9" name="Chart 5">
          <a:extLst>
            <a:ext uri="{FF2B5EF4-FFF2-40B4-BE49-F238E27FC236}">
              <a16:creationId xmlns:a16="http://schemas.microsoft.com/office/drawing/2014/main" id="{00000000-0008-0000-0E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9000</xdr:colOff>
      <xdr:row>49</xdr:row>
      <xdr:rowOff>67815</xdr:rowOff>
    </xdr:from>
    <xdr:to>
      <xdr:col>14</xdr:col>
      <xdr:colOff>223200</xdr:colOff>
      <xdr:row>66</xdr:row>
      <xdr:rowOff>87615</xdr:rowOff>
    </xdr:to>
    <xdr:graphicFrame macro="">
      <xdr:nvGraphicFramePr>
        <xdr:cNvPr id="10" name="Chart 6">
          <a:extLst>
            <a:ext uri="{FF2B5EF4-FFF2-40B4-BE49-F238E27FC236}">
              <a16:creationId xmlns:a16="http://schemas.microsoft.com/office/drawing/2014/main" id="{00000000-0008-0000-0E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768795</xdr:colOff>
      <xdr:row>53</xdr:row>
      <xdr:rowOff>114840</xdr:rowOff>
    </xdr:from>
    <xdr:to>
      <xdr:col>12</xdr:col>
      <xdr:colOff>351360</xdr:colOff>
      <xdr:row>83</xdr:row>
      <xdr:rowOff>68040</xdr:rowOff>
    </xdr:to>
    <xdr:pic>
      <xdr:nvPicPr>
        <xdr:cNvPr id="11" name="Image 3">
          <a:extLst>
            <a:ext uri="{FF2B5EF4-FFF2-40B4-BE49-F238E27FC236}">
              <a16:creationId xmlns:a16="http://schemas.microsoft.com/office/drawing/2014/main" id="{00000000-0008-0000-0F00-00000B000000}"/>
            </a:ext>
          </a:extLst>
        </xdr:cNvPr>
        <xdr:cNvPicPr/>
      </xdr:nvPicPr>
      <xdr:blipFill>
        <a:blip xmlns:r="http://schemas.openxmlformats.org/officeDocument/2006/relationships" r:embed="rId1"/>
        <a:stretch/>
      </xdr:blipFill>
      <xdr:spPr>
        <a:xfrm>
          <a:off x="3587400" y="8877960"/>
          <a:ext cx="10002960" cy="4810680"/>
        </a:xfrm>
        <a:prstGeom prst="rect">
          <a:avLst/>
        </a:prstGeom>
        <a:ln w="0">
          <a:noFill/>
        </a:ln>
      </xdr:spPr>
    </xdr:pic>
    <xdr:clientData/>
  </xdr:twoCellAnchor>
  <xdr:twoCellAnchor editAs="oneCell">
    <xdr:from>
      <xdr:col>3</xdr:col>
      <xdr:colOff>105480</xdr:colOff>
      <xdr:row>67</xdr:row>
      <xdr:rowOff>88920</xdr:rowOff>
    </xdr:from>
    <xdr:to>
      <xdr:col>15</xdr:col>
      <xdr:colOff>2475</xdr:colOff>
      <xdr:row>79</xdr:row>
      <xdr:rowOff>148680</xdr:rowOff>
    </xdr:to>
    <xdr:graphicFrame macro="">
      <xdr:nvGraphicFramePr>
        <xdr:cNvPr id="12" name="Chart 7">
          <a:extLst>
            <a:ext uri="{FF2B5EF4-FFF2-40B4-BE49-F238E27FC236}">
              <a16:creationId xmlns:a16="http://schemas.microsoft.com/office/drawing/2014/main" id="{00000000-0008-0000-0F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1723320</xdr:colOff>
      <xdr:row>20</xdr:row>
      <xdr:rowOff>77400</xdr:rowOff>
    </xdr:from>
    <xdr:to>
      <xdr:col>9</xdr:col>
      <xdr:colOff>137160</xdr:colOff>
      <xdr:row>51</xdr:row>
      <xdr:rowOff>25560</xdr:rowOff>
    </xdr:to>
    <xdr:pic>
      <xdr:nvPicPr>
        <xdr:cNvPr id="13" name="Image 4">
          <a:extLst>
            <a:ext uri="{FF2B5EF4-FFF2-40B4-BE49-F238E27FC236}">
              <a16:creationId xmlns:a16="http://schemas.microsoft.com/office/drawing/2014/main" id="{00000000-0008-0000-1000-00000D000000}"/>
            </a:ext>
          </a:extLst>
        </xdr:cNvPr>
        <xdr:cNvPicPr/>
      </xdr:nvPicPr>
      <xdr:blipFill>
        <a:blip xmlns:r="http://schemas.openxmlformats.org/officeDocument/2006/relationships" r:embed="rId1"/>
        <a:stretch/>
      </xdr:blipFill>
      <xdr:spPr>
        <a:xfrm>
          <a:off x="3596040" y="3497040"/>
          <a:ext cx="7143120" cy="4967640"/>
        </a:xfrm>
        <a:prstGeom prst="rect">
          <a:avLst/>
        </a:prstGeom>
        <a:ln w="0">
          <a:noFill/>
        </a:ln>
      </xdr:spPr>
    </xdr:pic>
    <xdr:clientData/>
  </xdr:twoCellAnchor>
  <xdr:twoCellAnchor editAs="oneCell">
    <xdr:from>
      <xdr:col>2</xdr:col>
      <xdr:colOff>308160</xdr:colOff>
      <xdr:row>29</xdr:row>
      <xdr:rowOff>132480</xdr:rowOff>
    </xdr:from>
    <xdr:to>
      <xdr:col>10</xdr:col>
      <xdr:colOff>741600</xdr:colOff>
      <xdr:row>47</xdr:row>
      <xdr:rowOff>19080</xdr:rowOff>
    </xdr:to>
    <xdr:graphicFrame macro="">
      <xdr:nvGraphicFramePr>
        <xdr:cNvPr id="14" name="Chart 9">
          <a:extLst>
            <a:ext uri="{FF2B5EF4-FFF2-40B4-BE49-F238E27FC236}">
              <a16:creationId xmlns:a16="http://schemas.microsoft.com/office/drawing/2014/main" id="{00000000-0008-0000-1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headers="0" connectionId="1" xr16:uid="{345875B0-6584-4955-BFAC-8C48E16D1BEC}" autoFormatId="16" applyNumberFormats="0" applyBorderFormats="0" applyFontFormats="0" applyPatternFormats="0" applyAlignmentFormats="0" applyWidthHeightFormats="0">
  <queryTableRefresh headersInLastRefresh="0" nextId="567" unboundColumnsRight="525">
    <queryTableFields count="566">
      <queryTableField id="1" name="Column1" tableColumnId="1"/>
      <queryTableField id="41" dataBound="0" tableColumnId="23"/>
      <queryTableField id="40" dataBound="0" tableColumnId="24"/>
      <queryTableField id="39" dataBound="0" tableColumnId="25"/>
      <queryTableField id="38" dataBound="0" tableColumnId="26"/>
      <queryTableField id="37" dataBound="0" tableColumnId="27"/>
      <queryTableField id="36" dataBound="0" tableColumnId="28"/>
      <queryTableField id="35" dataBound="0" tableColumnId="29"/>
      <queryTableField id="34" dataBound="0" tableColumnId="30"/>
      <queryTableField id="33" dataBound="0" tableColumnId="31"/>
      <queryTableField id="32" dataBound="0" tableColumnId="32"/>
      <queryTableField id="31" dataBound="0" tableColumnId="33"/>
      <queryTableField id="30" dataBound="0" tableColumnId="34"/>
      <queryTableField id="29" dataBound="0" tableColumnId="35"/>
      <queryTableField id="28" dataBound="0" tableColumnId="36"/>
      <queryTableField id="27" dataBound="0" tableColumnId="37"/>
      <queryTableField id="26" dataBound="0" tableColumnId="38"/>
      <queryTableField id="25" dataBound="0" tableColumnId="39"/>
      <queryTableField id="24" dataBound="0" tableColumnId="40"/>
      <queryTableField id="23" dataBound="0" tableColumnId="41"/>
      <queryTableField id="22" dataBound="0" tableColumnId="42"/>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 id="15" name="Column15" tableColumnId="15"/>
      <queryTableField id="16" name="Column16" tableColumnId="16"/>
      <queryTableField id="17" name="Column17" tableColumnId="17"/>
      <queryTableField id="18" name="Column18" tableColumnId="18"/>
      <queryTableField id="19" name="Column19" tableColumnId="19"/>
      <queryTableField id="20" name="Column20" tableColumnId="20"/>
      <queryTableField id="21" name="Column21" tableColumnId="21"/>
      <queryTableField id="42" dataBound="0" tableColumnId="22"/>
      <queryTableField id="43" dataBound="0" tableColumnId="43"/>
      <queryTableField id="44" dataBound="0" tableColumnId="44"/>
      <queryTableField id="45" dataBound="0" tableColumnId="45"/>
      <queryTableField id="46" dataBound="0" tableColumnId="46"/>
      <queryTableField id="47" dataBound="0" tableColumnId="47"/>
      <queryTableField id="48" dataBound="0" tableColumnId="48"/>
      <queryTableField id="49" dataBound="0" tableColumnId="49"/>
      <queryTableField id="50" dataBound="0" tableColumnId="50"/>
      <queryTableField id="51" dataBound="0" tableColumnId="51"/>
      <queryTableField id="52" dataBound="0" tableColumnId="52"/>
      <queryTableField id="53" dataBound="0" tableColumnId="53"/>
      <queryTableField id="54" dataBound="0" tableColumnId="54"/>
      <queryTableField id="55" dataBound="0" tableColumnId="55"/>
      <queryTableField id="56" dataBound="0" tableColumnId="56"/>
      <queryTableField id="57" dataBound="0" tableColumnId="57"/>
      <queryTableField id="58" dataBound="0" tableColumnId="58"/>
      <queryTableField id="59" dataBound="0" tableColumnId="59"/>
      <queryTableField id="60" dataBound="0" tableColumnId="60"/>
      <queryTableField id="61" dataBound="0" tableColumnId="61"/>
      <queryTableField id="62" dataBound="0" tableColumnId="62"/>
      <queryTableField id="63" dataBound="0" tableColumnId="63"/>
      <queryTableField id="64" dataBound="0" tableColumnId="64"/>
      <queryTableField id="65" dataBound="0" tableColumnId="65"/>
      <queryTableField id="66" dataBound="0" tableColumnId="66"/>
      <queryTableField id="67" dataBound="0" tableColumnId="67"/>
      <queryTableField id="68" dataBound="0" tableColumnId="68"/>
      <queryTableField id="69" dataBound="0" tableColumnId="69"/>
      <queryTableField id="70" dataBound="0" tableColumnId="70"/>
      <queryTableField id="71" dataBound="0" tableColumnId="71"/>
      <queryTableField id="72" dataBound="0" tableColumnId="72"/>
      <queryTableField id="73" dataBound="0" tableColumnId="73"/>
      <queryTableField id="74" dataBound="0" tableColumnId="74"/>
      <queryTableField id="75" dataBound="0" tableColumnId="75"/>
      <queryTableField id="76" dataBound="0" tableColumnId="76"/>
      <queryTableField id="77" dataBound="0" tableColumnId="77"/>
      <queryTableField id="78" dataBound="0" tableColumnId="78"/>
      <queryTableField id="79" dataBound="0" tableColumnId="79"/>
      <queryTableField id="80" dataBound="0" tableColumnId="80"/>
      <queryTableField id="81" dataBound="0" tableColumnId="81"/>
      <queryTableField id="82" dataBound="0" tableColumnId="82"/>
      <queryTableField id="83" dataBound="0" tableColumnId="83"/>
      <queryTableField id="84" dataBound="0" tableColumnId="84"/>
      <queryTableField id="85" dataBound="0" tableColumnId="85"/>
      <queryTableField id="86" dataBound="0" tableColumnId="86"/>
      <queryTableField id="87" dataBound="0" tableColumnId="87"/>
      <queryTableField id="88" dataBound="0" tableColumnId="88"/>
      <queryTableField id="89" dataBound="0" tableColumnId="89"/>
      <queryTableField id="90" dataBound="0" tableColumnId="90"/>
      <queryTableField id="91" dataBound="0" tableColumnId="91"/>
      <queryTableField id="92" dataBound="0" tableColumnId="92"/>
      <queryTableField id="93" dataBound="0" tableColumnId="93"/>
      <queryTableField id="94" dataBound="0" tableColumnId="94"/>
      <queryTableField id="95" dataBound="0" tableColumnId="95"/>
      <queryTableField id="96" dataBound="0" tableColumnId="96"/>
      <queryTableField id="97" dataBound="0" tableColumnId="97"/>
      <queryTableField id="98" dataBound="0" tableColumnId="98"/>
      <queryTableField id="99" dataBound="0" tableColumnId="99"/>
      <queryTableField id="100" dataBound="0" tableColumnId="100"/>
      <queryTableField id="101" dataBound="0" tableColumnId="101"/>
      <queryTableField id="102" dataBound="0" tableColumnId="102"/>
      <queryTableField id="103" dataBound="0" tableColumnId="103"/>
      <queryTableField id="104" dataBound="0" tableColumnId="104"/>
      <queryTableField id="105" dataBound="0" tableColumnId="105"/>
      <queryTableField id="106" dataBound="0" tableColumnId="106"/>
      <queryTableField id="107" dataBound="0" tableColumnId="107"/>
      <queryTableField id="108" dataBound="0" tableColumnId="108"/>
      <queryTableField id="109" dataBound="0" tableColumnId="109"/>
      <queryTableField id="110" dataBound="0" tableColumnId="110"/>
      <queryTableField id="111" dataBound="0" tableColumnId="111"/>
      <queryTableField id="112" dataBound="0" tableColumnId="112"/>
      <queryTableField id="113" dataBound="0" tableColumnId="113"/>
      <queryTableField id="114" dataBound="0" tableColumnId="114"/>
      <queryTableField id="115" dataBound="0" tableColumnId="115"/>
      <queryTableField id="116" dataBound="0" tableColumnId="116"/>
      <queryTableField id="117" dataBound="0" tableColumnId="117"/>
      <queryTableField id="118" dataBound="0" tableColumnId="118"/>
      <queryTableField id="119" dataBound="0" tableColumnId="119"/>
      <queryTableField id="120" dataBound="0" tableColumnId="120"/>
      <queryTableField id="121" dataBound="0" tableColumnId="121"/>
      <queryTableField id="122" dataBound="0" tableColumnId="122"/>
      <queryTableField id="123" dataBound="0" tableColumnId="123"/>
      <queryTableField id="124" dataBound="0" tableColumnId="124"/>
      <queryTableField id="125" dataBound="0" tableColumnId="125"/>
      <queryTableField id="126" dataBound="0" tableColumnId="126"/>
      <queryTableField id="127" dataBound="0" tableColumnId="127"/>
      <queryTableField id="128" dataBound="0" tableColumnId="128"/>
      <queryTableField id="129" dataBound="0" tableColumnId="129"/>
      <queryTableField id="130" dataBound="0" tableColumnId="130"/>
      <queryTableField id="131" dataBound="0" tableColumnId="131"/>
      <queryTableField id="132" dataBound="0" tableColumnId="132"/>
      <queryTableField id="133" dataBound="0" tableColumnId="133"/>
      <queryTableField id="134" dataBound="0" tableColumnId="134"/>
      <queryTableField id="135" dataBound="0" tableColumnId="135"/>
      <queryTableField id="136" dataBound="0" tableColumnId="136"/>
      <queryTableField id="137" dataBound="0" tableColumnId="137"/>
      <queryTableField id="138" dataBound="0" tableColumnId="138"/>
      <queryTableField id="139" dataBound="0" tableColumnId="139"/>
      <queryTableField id="140" dataBound="0" tableColumnId="140"/>
      <queryTableField id="141" dataBound="0" tableColumnId="141"/>
      <queryTableField id="142" dataBound="0" tableColumnId="142"/>
      <queryTableField id="143" dataBound="0" tableColumnId="143"/>
      <queryTableField id="144" dataBound="0" tableColumnId="144"/>
      <queryTableField id="145" dataBound="0" tableColumnId="145"/>
      <queryTableField id="146" dataBound="0" tableColumnId="146"/>
      <queryTableField id="147" dataBound="0" tableColumnId="147"/>
      <queryTableField id="148" dataBound="0" tableColumnId="148"/>
      <queryTableField id="149" dataBound="0" tableColumnId="149"/>
      <queryTableField id="150" dataBound="0" tableColumnId="150"/>
      <queryTableField id="151" dataBound="0" tableColumnId="151"/>
      <queryTableField id="152" dataBound="0" tableColumnId="152"/>
      <queryTableField id="153" dataBound="0" tableColumnId="153"/>
      <queryTableField id="154" dataBound="0" tableColumnId="154"/>
      <queryTableField id="155" dataBound="0" tableColumnId="155"/>
      <queryTableField id="156" dataBound="0" tableColumnId="156"/>
      <queryTableField id="157" dataBound="0" tableColumnId="157"/>
      <queryTableField id="158" dataBound="0" tableColumnId="158"/>
      <queryTableField id="159" dataBound="0" tableColumnId="159"/>
      <queryTableField id="160" dataBound="0" tableColumnId="160"/>
      <queryTableField id="161" dataBound="0" tableColumnId="161"/>
      <queryTableField id="162" dataBound="0" tableColumnId="162"/>
      <queryTableField id="163" dataBound="0" tableColumnId="163"/>
      <queryTableField id="164" dataBound="0" tableColumnId="164"/>
      <queryTableField id="165" dataBound="0" tableColumnId="165"/>
      <queryTableField id="166" dataBound="0" tableColumnId="166"/>
      <queryTableField id="167" dataBound="0" tableColumnId="167"/>
      <queryTableField id="168" dataBound="0" tableColumnId="168"/>
      <queryTableField id="169" dataBound="0" tableColumnId="169"/>
      <queryTableField id="170" dataBound="0" tableColumnId="170"/>
      <queryTableField id="171" dataBound="0" tableColumnId="171"/>
      <queryTableField id="172" dataBound="0" tableColumnId="172"/>
      <queryTableField id="173" dataBound="0" tableColumnId="173"/>
      <queryTableField id="174" dataBound="0" tableColumnId="174"/>
      <queryTableField id="175" dataBound="0" tableColumnId="175"/>
      <queryTableField id="176" dataBound="0" tableColumnId="176"/>
      <queryTableField id="177" dataBound="0" tableColumnId="177"/>
      <queryTableField id="178" dataBound="0" tableColumnId="178"/>
      <queryTableField id="179" dataBound="0" tableColumnId="179"/>
      <queryTableField id="180" dataBound="0" tableColumnId="180"/>
      <queryTableField id="181" dataBound="0" tableColumnId="181"/>
      <queryTableField id="182" dataBound="0" tableColumnId="182"/>
      <queryTableField id="183" dataBound="0" tableColumnId="183"/>
      <queryTableField id="184" dataBound="0" tableColumnId="184"/>
      <queryTableField id="185" dataBound="0" tableColumnId="185"/>
      <queryTableField id="186" dataBound="0" tableColumnId="186"/>
      <queryTableField id="187" dataBound="0" tableColumnId="187"/>
      <queryTableField id="188" dataBound="0" tableColumnId="188"/>
      <queryTableField id="189" dataBound="0" tableColumnId="189"/>
      <queryTableField id="190" dataBound="0" tableColumnId="190"/>
      <queryTableField id="191" dataBound="0" tableColumnId="191"/>
      <queryTableField id="192" dataBound="0" tableColumnId="192"/>
      <queryTableField id="193" dataBound="0" tableColumnId="193"/>
      <queryTableField id="194" dataBound="0" tableColumnId="194"/>
      <queryTableField id="195" dataBound="0" tableColumnId="195"/>
      <queryTableField id="196" dataBound="0" tableColumnId="196"/>
      <queryTableField id="197" dataBound="0" tableColumnId="197"/>
      <queryTableField id="198" dataBound="0" tableColumnId="198"/>
      <queryTableField id="199" dataBound="0" tableColumnId="199"/>
      <queryTableField id="200" dataBound="0" tableColumnId="200"/>
      <queryTableField id="201" dataBound="0" tableColumnId="201"/>
      <queryTableField id="202" dataBound="0" tableColumnId="202"/>
      <queryTableField id="203" dataBound="0" tableColumnId="203"/>
      <queryTableField id="204" dataBound="0" tableColumnId="204"/>
      <queryTableField id="205" dataBound="0" tableColumnId="205"/>
      <queryTableField id="206" dataBound="0" tableColumnId="206"/>
      <queryTableField id="207" dataBound="0" tableColumnId="207"/>
      <queryTableField id="208" dataBound="0" tableColumnId="208"/>
      <queryTableField id="209" dataBound="0" tableColumnId="209"/>
      <queryTableField id="210" dataBound="0" tableColumnId="210"/>
      <queryTableField id="211" dataBound="0" tableColumnId="211"/>
      <queryTableField id="212" dataBound="0" tableColumnId="212"/>
      <queryTableField id="213" dataBound="0" tableColumnId="213"/>
      <queryTableField id="214" dataBound="0" tableColumnId="214"/>
      <queryTableField id="215" dataBound="0" tableColumnId="215"/>
      <queryTableField id="216" dataBound="0" tableColumnId="216"/>
      <queryTableField id="217" dataBound="0" tableColumnId="217"/>
      <queryTableField id="218" dataBound="0" tableColumnId="218"/>
      <queryTableField id="219" dataBound="0" tableColumnId="219"/>
      <queryTableField id="220" dataBound="0" tableColumnId="220"/>
      <queryTableField id="221" dataBound="0" tableColumnId="221"/>
      <queryTableField id="222" dataBound="0" tableColumnId="222"/>
      <queryTableField id="223" dataBound="0" tableColumnId="223"/>
      <queryTableField id="224" dataBound="0" tableColumnId="224"/>
      <queryTableField id="225" dataBound="0" tableColumnId="225"/>
      <queryTableField id="226" dataBound="0" tableColumnId="226"/>
      <queryTableField id="227" dataBound="0" tableColumnId="227"/>
      <queryTableField id="228" dataBound="0" tableColumnId="228"/>
      <queryTableField id="229" dataBound="0" tableColumnId="229"/>
      <queryTableField id="230" dataBound="0" tableColumnId="230"/>
      <queryTableField id="231" dataBound="0" tableColumnId="231"/>
      <queryTableField id="232" dataBound="0" tableColumnId="232"/>
      <queryTableField id="233" dataBound="0" tableColumnId="233"/>
      <queryTableField id="234" dataBound="0" tableColumnId="234"/>
      <queryTableField id="235" dataBound="0" tableColumnId="235"/>
      <queryTableField id="236" dataBound="0" tableColumnId="236"/>
      <queryTableField id="237" dataBound="0" tableColumnId="237"/>
      <queryTableField id="238" dataBound="0" tableColumnId="238"/>
      <queryTableField id="239" dataBound="0" tableColumnId="239"/>
      <queryTableField id="240" dataBound="0" tableColumnId="240"/>
      <queryTableField id="241" dataBound="0" tableColumnId="241"/>
      <queryTableField id="242" dataBound="0" tableColumnId="242"/>
      <queryTableField id="243" dataBound="0" tableColumnId="243"/>
      <queryTableField id="244" dataBound="0" tableColumnId="244"/>
      <queryTableField id="245" dataBound="0" tableColumnId="245"/>
      <queryTableField id="246" dataBound="0" tableColumnId="246"/>
      <queryTableField id="247" dataBound="0" tableColumnId="247"/>
      <queryTableField id="248" dataBound="0" tableColumnId="248"/>
      <queryTableField id="249" dataBound="0" tableColumnId="249"/>
      <queryTableField id="250" dataBound="0" tableColumnId="250"/>
      <queryTableField id="251" dataBound="0" tableColumnId="251"/>
      <queryTableField id="252" dataBound="0" tableColumnId="252"/>
      <queryTableField id="253" dataBound="0" tableColumnId="253"/>
      <queryTableField id="254" dataBound="0" tableColumnId="254"/>
      <queryTableField id="255" dataBound="0" tableColumnId="255"/>
      <queryTableField id="256" dataBound="0" tableColumnId="256"/>
      <queryTableField id="257" dataBound="0" tableColumnId="257"/>
      <queryTableField id="258" dataBound="0" tableColumnId="258"/>
      <queryTableField id="259" dataBound="0" tableColumnId="259"/>
      <queryTableField id="260" dataBound="0" tableColumnId="260"/>
      <queryTableField id="261" dataBound="0" tableColumnId="261"/>
      <queryTableField id="262" dataBound="0" tableColumnId="262"/>
      <queryTableField id="263" dataBound="0" tableColumnId="263"/>
      <queryTableField id="264" dataBound="0" tableColumnId="264"/>
      <queryTableField id="265" dataBound="0" tableColumnId="265"/>
      <queryTableField id="266" dataBound="0" tableColumnId="266"/>
      <queryTableField id="267" dataBound="0" tableColumnId="267"/>
      <queryTableField id="268" dataBound="0" tableColumnId="268"/>
      <queryTableField id="269" dataBound="0" tableColumnId="269"/>
      <queryTableField id="270" dataBound="0" tableColumnId="270"/>
      <queryTableField id="271" dataBound="0" tableColumnId="271"/>
      <queryTableField id="272" dataBound="0" tableColumnId="272"/>
      <queryTableField id="273" dataBound="0" tableColumnId="273"/>
      <queryTableField id="274" dataBound="0" tableColumnId="274"/>
      <queryTableField id="275" dataBound="0" tableColumnId="275"/>
      <queryTableField id="276" dataBound="0" tableColumnId="276"/>
      <queryTableField id="277" dataBound="0" tableColumnId="277"/>
      <queryTableField id="278" dataBound="0" tableColumnId="278"/>
      <queryTableField id="279" dataBound="0" tableColumnId="279"/>
      <queryTableField id="280" dataBound="0" tableColumnId="280"/>
      <queryTableField id="281" dataBound="0" tableColumnId="281"/>
      <queryTableField id="282" dataBound="0" tableColumnId="282"/>
      <queryTableField id="283" dataBound="0" tableColumnId="283"/>
      <queryTableField id="284" dataBound="0" tableColumnId="284"/>
      <queryTableField id="285" dataBound="0" tableColumnId="285"/>
      <queryTableField id="286" dataBound="0" tableColumnId="286"/>
      <queryTableField id="287" dataBound="0" tableColumnId="287"/>
      <queryTableField id="288" dataBound="0" tableColumnId="288"/>
      <queryTableField id="289" dataBound="0" tableColumnId="289"/>
      <queryTableField id="290" dataBound="0" tableColumnId="290"/>
      <queryTableField id="291" dataBound="0" tableColumnId="291"/>
      <queryTableField id="292" dataBound="0" tableColumnId="292"/>
      <queryTableField id="293" dataBound="0" tableColumnId="293"/>
      <queryTableField id="294" dataBound="0" tableColumnId="294"/>
      <queryTableField id="295" dataBound="0" tableColumnId="295"/>
      <queryTableField id="296" dataBound="0" tableColumnId="296"/>
      <queryTableField id="297" dataBound="0" tableColumnId="297"/>
      <queryTableField id="298" dataBound="0" tableColumnId="298"/>
      <queryTableField id="299" dataBound="0" tableColumnId="299"/>
      <queryTableField id="300" dataBound="0" tableColumnId="300"/>
      <queryTableField id="301" dataBound="0" tableColumnId="301"/>
      <queryTableField id="302" dataBound="0" tableColumnId="302"/>
      <queryTableField id="303" dataBound="0" tableColumnId="303"/>
      <queryTableField id="304" dataBound="0" tableColumnId="304"/>
      <queryTableField id="305" dataBound="0" tableColumnId="305"/>
      <queryTableField id="306" dataBound="0" tableColumnId="306"/>
      <queryTableField id="307" dataBound="0" tableColumnId="307"/>
      <queryTableField id="308" dataBound="0" tableColumnId="308"/>
      <queryTableField id="309" dataBound="0" tableColumnId="309"/>
      <queryTableField id="310" dataBound="0" tableColumnId="310"/>
      <queryTableField id="311" dataBound="0" tableColumnId="311"/>
      <queryTableField id="312" dataBound="0" tableColumnId="312"/>
      <queryTableField id="313" dataBound="0" tableColumnId="313"/>
      <queryTableField id="314" dataBound="0" tableColumnId="314"/>
      <queryTableField id="315" dataBound="0" tableColumnId="315"/>
      <queryTableField id="316" dataBound="0" tableColumnId="316"/>
      <queryTableField id="317" dataBound="0" tableColumnId="317"/>
      <queryTableField id="318" dataBound="0" tableColumnId="318"/>
      <queryTableField id="319" dataBound="0" tableColumnId="319"/>
      <queryTableField id="320" dataBound="0" tableColumnId="320"/>
      <queryTableField id="321" dataBound="0" tableColumnId="321"/>
      <queryTableField id="322" dataBound="0" tableColumnId="322"/>
      <queryTableField id="323" dataBound="0" tableColumnId="323"/>
      <queryTableField id="324" dataBound="0" tableColumnId="324"/>
      <queryTableField id="325" dataBound="0" tableColumnId="325"/>
      <queryTableField id="326" dataBound="0" tableColumnId="326"/>
      <queryTableField id="327" dataBound="0" tableColumnId="327"/>
      <queryTableField id="328" dataBound="0" tableColumnId="328"/>
      <queryTableField id="329" dataBound="0" tableColumnId="329"/>
      <queryTableField id="330" dataBound="0" tableColumnId="330"/>
      <queryTableField id="331" dataBound="0" tableColumnId="331"/>
      <queryTableField id="332" dataBound="0" tableColumnId="332"/>
      <queryTableField id="333" dataBound="0" tableColumnId="333"/>
      <queryTableField id="334" dataBound="0" tableColumnId="334"/>
      <queryTableField id="335" dataBound="0" tableColumnId="335"/>
      <queryTableField id="336" dataBound="0" tableColumnId="336"/>
      <queryTableField id="337" dataBound="0" tableColumnId="337"/>
      <queryTableField id="338" dataBound="0" tableColumnId="338"/>
      <queryTableField id="339" dataBound="0" tableColumnId="339"/>
      <queryTableField id="340" dataBound="0" tableColumnId="340"/>
      <queryTableField id="341" dataBound="0" tableColumnId="341"/>
      <queryTableField id="342" dataBound="0" tableColumnId="342"/>
      <queryTableField id="343" dataBound="0" tableColumnId="343"/>
      <queryTableField id="344" dataBound="0" tableColumnId="344"/>
      <queryTableField id="345" dataBound="0" tableColumnId="345"/>
      <queryTableField id="346" dataBound="0" tableColumnId="346"/>
      <queryTableField id="347" dataBound="0" tableColumnId="347"/>
      <queryTableField id="348" dataBound="0" tableColumnId="348"/>
      <queryTableField id="349" dataBound="0" tableColumnId="349"/>
      <queryTableField id="350" dataBound="0" tableColumnId="350"/>
      <queryTableField id="351" dataBound="0" tableColumnId="351"/>
      <queryTableField id="352" dataBound="0" tableColumnId="352"/>
      <queryTableField id="353" dataBound="0" tableColumnId="353"/>
      <queryTableField id="354" dataBound="0" tableColumnId="354"/>
      <queryTableField id="355" dataBound="0" tableColumnId="355"/>
      <queryTableField id="356" dataBound="0" tableColumnId="356"/>
      <queryTableField id="357" dataBound="0" tableColumnId="357"/>
      <queryTableField id="358" dataBound="0" tableColumnId="358"/>
      <queryTableField id="359" dataBound="0" tableColumnId="359"/>
      <queryTableField id="360" dataBound="0" tableColumnId="360"/>
      <queryTableField id="361" dataBound="0" tableColumnId="361"/>
      <queryTableField id="362" dataBound="0" tableColumnId="362"/>
      <queryTableField id="363" dataBound="0" tableColumnId="363"/>
      <queryTableField id="364" dataBound="0" tableColumnId="364"/>
      <queryTableField id="365" dataBound="0" tableColumnId="365"/>
      <queryTableField id="366" dataBound="0" tableColumnId="366"/>
      <queryTableField id="367" dataBound="0" tableColumnId="367"/>
      <queryTableField id="368" dataBound="0" tableColumnId="368"/>
      <queryTableField id="369" dataBound="0" tableColumnId="369"/>
      <queryTableField id="370" dataBound="0" tableColumnId="370"/>
      <queryTableField id="371" dataBound="0" tableColumnId="371"/>
      <queryTableField id="372" dataBound="0" tableColumnId="372"/>
      <queryTableField id="373" dataBound="0" tableColumnId="373"/>
      <queryTableField id="374" dataBound="0" tableColumnId="374"/>
      <queryTableField id="375" dataBound="0" tableColumnId="375"/>
      <queryTableField id="376" dataBound="0" tableColumnId="376"/>
      <queryTableField id="377" dataBound="0" tableColumnId="377"/>
      <queryTableField id="378" dataBound="0" tableColumnId="378"/>
      <queryTableField id="379" dataBound="0" tableColumnId="379"/>
      <queryTableField id="380" dataBound="0" tableColumnId="380"/>
      <queryTableField id="381" dataBound="0" tableColumnId="381"/>
      <queryTableField id="382" dataBound="0" tableColumnId="382"/>
      <queryTableField id="383" dataBound="0" tableColumnId="383"/>
      <queryTableField id="384" dataBound="0" tableColumnId="384"/>
      <queryTableField id="385" dataBound="0" tableColumnId="385"/>
      <queryTableField id="386" dataBound="0" tableColumnId="386"/>
      <queryTableField id="387" dataBound="0" tableColumnId="387"/>
      <queryTableField id="388" dataBound="0" tableColumnId="388"/>
      <queryTableField id="389" dataBound="0" tableColumnId="389"/>
      <queryTableField id="390" dataBound="0" tableColumnId="390"/>
      <queryTableField id="391" dataBound="0" tableColumnId="391"/>
      <queryTableField id="392" dataBound="0" tableColumnId="392"/>
      <queryTableField id="393" dataBound="0" tableColumnId="393"/>
      <queryTableField id="394" dataBound="0" tableColumnId="394"/>
      <queryTableField id="395" dataBound="0" tableColumnId="395"/>
      <queryTableField id="396" dataBound="0" tableColumnId="396"/>
      <queryTableField id="397" dataBound="0" tableColumnId="397"/>
      <queryTableField id="398" dataBound="0" tableColumnId="398"/>
      <queryTableField id="399" dataBound="0" tableColumnId="399"/>
      <queryTableField id="400" dataBound="0" tableColumnId="400"/>
      <queryTableField id="401" dataBound="0" tableColumnId="401"/>
      <queryTableField id="402" dataBound="0" tableColumnId="402"/>
      <queryTableField id="403" dataBound="0" tableColumnId="403"/>
      <queryTableField id="404" dataBound="0" tableColumnId="404"/>
      <queryTableField id="405" dataBound="0" tableColumnId="405"/>
      <queryTableField id="406" dataBound="0" tableColumnId="406"/>
      <queryTableField id="407" dataBound="0" tableColumnId="407"/>
      <queryTableField id="408" dataBound="0" tableColumnId="408"/>
      <queryTableField id="409" dataBound="0" tableColumnId="409"/>
      <queryTableField id="410" dataBound="0" tableColumnId="410"/>
      <queryTableField id="411" dataBound="0" tableColumnId="411"/>
      <queryTableField id="412" dataBound="0" tableColumnId="412"/>
      <queryTableField id="413" dataBound="0" tableColumnId="413"/>
      <queryTableField id="414" dataBound="0" tableColumnId="414"/>
      <queryTableField id="415" dataBound="0" tableColumnId="415"/>
      <queryTableField id="416" dataBound="0" tableColumnId="416"/>
      <queryTableField id="417" dataBound="0" tableColumnId="417"/>
      <queryTableField id="418" dataBound="0" tableColumnId="418"/>
      <queryTableField id="419" dataBound="0" tableColumnId="419"/>
      <queryTableField id="420" dataBound="0" tableColumnId="420"/>
      <queryTableField id="421" dataBound="0" tableColumnId="421"/>
      <queryTableField id="422" dataBound="0" tableColumnId="422"/>
      <queryTableField id="423" dataBound="0" tableColumnId="423"/>
      <queryTableField id="424" dataBound="0" tableColumnId="424"/>
      <queryTableField id="425" dataBound="0" tableColumnId="425"/>
      <queryTableField id="426" dataBound="0" tableColumnId="426"/>
      <queryTableField id="427" dataBound="0" tableColumnId="427"/>
      <queryTableField id="428" dataBound="0" tableColumnId="428"/>
      <queryTableField id="429" dataBound="0" tableColumnId="429"/>
      <queryTableField id="430" dataBound="0" tableColumnId="430"/>
      <queryTableField id="431" dataBound="0" tableColumnId="431"/>
      <queryTableField id="432" dataBound="0" tableColumnId="432"/>
      <queryTableField id="433" dataBound="0" tableColumnId="433"/>
      <queryTableField id="434" dataBound="0" tableColumnId="434"/>
      <queryTableField id="435" dataBound="0" tableColumnId="435"/>
      <queryTableField id="436" dataBound="0" tableColumnId="436"/>
      <queryTableField id="437" dataBound="0" tableColumnId="437"/>
      <queryTableField id="438" dataBound="0" tableColumnId="438"/>
      <queryTableField id="439" dataBound="0" tableColumnId="439"/>
      <queryTableField id="440" dataBound="0" tableColumnId="440"/>
      <queryTableField id="441" dataBound="0" tableColumnId="441"/>
      <queryTableField id="442" dataBound="0" tableColumnId="442"/>
      <queryTableField id="443" dataBound="0" tableColumnId="443"/>
      <queryTableField id="444" dataBound="0" tableColumnId="444"/>
      <queryTableField id="445" dataBound="0" tableColumnId="445"/>
      <queryTableField id="446" dataBound="0" tableColumnId="446"/>
      <queryTableField id="447" dataBound="0" tableColumnId="447"/>
      <queryTableField id="448" dataBound="0" tableColumnId="448"/>
      <queryTableField id="449" dataBound="0" tableColumnId="449"/>
      <queryTableField id="450" dataBound="0" tableColumnId="450"/>
      <queryTableField id="451" dataBound="0" tableColumnId="451"/>
      <queryTableField id="452" dataBound="0" tableColumnId="452"/>
      <queryTableField id="453" dataBound="0" tableColumnId="453"/>
      <queryTableField id="454" dataBound="0" tableColumnId="454"/>
      <queryTableField id="455" dataBound="0" tableColumnId="455"/>
      <queryTableField id="456" dataBound="0" tableColumnId="456"/>
      <queryTableField id="457" dataBound="0" tableColumnId="457"/>
      <queryTableField id="458" dataBound="0" tableColumnId="458"/>
      <queryTableField id="459" dataBound="0" tableColumnId="459"/>
      <queryTableField id="460" dataBound="0" tableColumnId="460"/>
      <queryTableField id="461" dataBound="0" tableColumnId="461"/>
      <queryTableField id="462" dataBound="0" tableColumnId="462"/>
      <queryTableField id="463" dataBound="0" tableColumnId="463"/>
      <queryTableField id="464" dataBound="0" tableColumnId="464"/>
      <queryTableField id="465" dataBound="0" tableColumnId="465"/>
      <queryTableField id="466" dataBound="0" tableColumnId="466"/>
      <queryTableField id="467" dataBound="0" tableColumnId="467"/>
      <queryTableField id="468" dataBound="0" tableColumnId="468"/>
      <queryTableField id="469" dataBound="0" tableColumnId="469"/>
      <queryTableField id="470" dataBound="0" tableColumnId="470"/>
      <queryTableField id="471" dataBound="0" tableColumnId="471"/>
      <queryTableField id="472" dataBound="0" tableColumnId="472"/>
      <queryTableField id="473" dataBound="0" tableColumnId="473"/>
      <queryTableField id="474" dataBound="0" tableColumnId="474"/>
      <queryTableField id="475" dataBound="0" tableColumnId="475"/>
      <queryTableField id="476" dataBound="0" tableColumnId="476"/>
      <queryTableField id="477" dataBound="0" tableColumnId="477"/>
      <queryTableField id="478" dataBound="0" tableColumnId="478"/>
      <queryTableField id="479" dataBound="0" tableColumnId="479"/>
      <queryTableField id="480" dataBound="0" tableColumnId="480"/>
      <queryTableField id="481" dataBound="0" tableColumnId="481"/>
      <queryTableField id="482" dataBound="0" tableColumnId="482"/>
      <queryTableField id="483" dataBound="0" tableColumnId="483"/>
      <queryTableField id="484" dataBound="0" tableColumnId="484"/>
      <queryTableField id="485" dataBound="0" tableColumnId="485"/>
      <queryTableField id="486" dataBound="0" tableColumnId="486"/>
      <queryTableField id="487" dataBound="0" tableColumnId="487"/>
      <queryTableField id="488" dataBound="0" tableColumnId="488"/>
      <queryTableField id="489" dataBound="0" tableColumnId="489"/>
      <queryTableField id="490" dataBound="0" tableColumnId="490"/>
      <queryTableField id="491" dataBound="0" tableColumnId="491"/>
      <queryTableField id="492" dataBound="0" tableColumnId="492"/>
      <queryTableField id="493" dataBound="0" tableColumnId="493"/>
      <queryTableField id="494" dataBound="0" tableColumnId="494"/>
      <queryTableField id="495" dataBound="0" tableColumnId="495"/>
      <queryTableField id="496" dataBound="0" tableColumnId="496"/>
      <queryTableField id="497" dataBound="0" tableColumnId="497"/>
      <queryTableField id="498" dataBound="0" tableColumnId="498"/>
      <queryTableField id="499" dataBound="0" tableColumnId="499"/>
      <queryTableField id="500" dataBound="0" tableColumnId="500"/>
      <queryTableField id="501" dataBound="0" tableColumnId="501"/>
      <queryTableField id="502" dataBound="0" tableColumnId="502"/>
      <queryTableField id="503" dataBound="0" tableColumnId="503"/>
      <queryTableField id="504" dataBound="0" tableColumnId="504"/>
      <queryTableField id="505" dataBound="0" tableColumnId="505"/>
      <queryTableField id="506" dataBound="0" tableColumnId="506"/>
      <queryTableField id="507" dataBound="0" tableColumnId="507"/>
      <queryTableField id="508" dataBound="0" tableColumnId="508"/>
      <queryTableField id="509" dataBound="0" tableColumnId="509"/>
      <queryTableField id="510" dataBound="0" tableColumnId="510"/>
      <queryTableField id="511" dataBound="0" tableColumnId="511"/>
      <queryTableField id="512" dataBound="0" tableColumnId="512"/>
      <queryTableField id="513" dataBound="0" tableColumnId="513"/>
      <queryTableField id="514" dataBound="0" tableColumnId="514"/>
      <queryTableField id="515" dataBound="0" tableColumnId="515"/>
      <queryTableField id="516" dataBound="0" tableColumnId="516"/>
      <queryTableField id="517" dataBound="0" tableColumnId="517"/>
      <queryTableField id="518" dataBound="0" tableColumnId="518"/>
      <queryTableField id="519" dataBound="0" tableColumnId="519"/>
      <queryTableField id="520" dataBound="0" tableColumnId="520"/>
      <queryTableField id="521" dataBound="0" tableColumnId="521"/>
      <queryTableField id="522" dataBound="0" tableColumnId="522"/>
      <queryTableField id="523" dataBound="0" tableColumnId="523"/>
      <queryTableField id="524" dataBound="0" tableColumnId="524"/>
      <queryTableField id="525" dataBound="0" tableColumnId="525"/>
      <queryTableField id="526" dataBound="0" tableColumnId="526"/>
      <queryTableField id="527" dataBound="0" tableColumnId="527"/>
      <queryTableField id="528" dataBound="0" tableColumnId="528"/>
      <queryTableField id="529" dataBound="0" tableColumnId="529"/>
      <queryTableField id="530" dataBound="0" tableColumnId="530"/>
      <queryTableField id="531" dataBound="0" tableColumnId="531"/>
      <queryTableField id="532" dataBound="0" tableColumnId="532"/>
      <queryTableField id="533" dataBound="0" tableColumnId="533"/>
      <queryTableField id="534" dataBound="0" tableColumnId="534"/>
      <queryTableField id="535" dataBound="0" tableColumnId="535"/>
      <queryTableField id="536" dataBound="0" tableColumnId="536"/>
      <queryTableField id="537" dataBound="0" tableColumnId="537"/>
      <queryTableField id="538" dataBound="0" tableColumnId="538"/>
      <queryTableField id="539" dataBound="0" tableColumnId="539"/>
      <queryTableField id="540" dataBound="0" tableColumnId="540"/>
      <queryTableField id="541" dataBound="0" tableColumnId="541"/>
      <queryTableField id="542" dataBound="0" tableColumnId="542"/>
      <queryTableField id="543" dataBound="0" tableColumnId="543"/>
      <queryTableField id="544" dataBound="0" tableColumnId="544"/>
      <queryTableField id="545" dataBound="0" tableColumnId="545"/>
      <queryTableField id="546" dataBound="0" tableColumnId="546"/>
      <queryTableField id="547" dataBound="0" tableColumnId="547"/>
      <queryTableField id="548" dataBound="0" tableColumnId="548"/>
      <queryTableField id="549" dataBound="0" tableColumnId="549"/>
      <queryTableField id="550" dataBound="0" tableColumnId="550"/>
      <queryTableField id="551" dataBound="0" tableColumnId="551"/>
      <queryTableField id="552" dataBound="0" tableColumnId="552"/>
      <queryTableField id="553" dataBound="0" tableColumnId="553"/>
      <queryTableField id="554" dataBound="0" tableColumnId="554"/>
      <queryTableField id="555" dataBound="0" tableColumnId="555"/>
      <queryTableField id="556" dataBound="0" tableColumnId="556"/>
      <queryTableField id="557" dataBound="0" tableColumnId="557"/>
      <queryTableField id="558" dataBound="0" tableColumnId="558"/>
      <queryTableField id="559" dataBound="0" tableColumnId="559"/>
      <queryTableField id="560" dataBound="0" tableColumnId="560"/>
      <queryTableField id="561" dataBound="0" tableColumnId="561"/>
      <queryTableField id="562" dataBound="0" tableColumnId="562"/>
      <queryTableField id="563" dataBound="0" tableColumnId="563"/>
      <queryTableField id="564" dataBound="0" tableColumnId="564"/>
      <queryTableField id="565" dataBound="0" tableColumnId="565"/>
      <queryTableField id="566" dataBound="0" tableColumnId="566"/>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rop_down_WÜ_1" displayName="drop_down_WÜ_1" ref="B33:B34" totalsRowShown="0">
  <tableColumns count="1">
    <tableColumn id="1" xr3:uid="{00000000-0010-0000-0000-000001000000}" name="V,Delta_T_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464117-A582-45FD-AD52-BEB5A8A46D56}" name="Löslichkeitstabelle_Wasser_I" displayName="Löslichkeitstabelle_Wasser_I" ref="A6:UT86" tableType="queryTable" headerRowCount="0" totalsRowShown="0" headerRowDxfId="1315" tableBorderDxfId="1314" totalsRowBorderDxfId="1313" headerRowCellStyle="Standard" dataCellStyle="Standard">
  <tableColumns count="566">
    <tableColumn id="1" xr3:uid="{8925ED0A-25F1-4667-8203-6CDEA84A147D}" uniqueName="1" name="Column1" queryTableFieldId="1" dataDxfId="1312" dataCellStyle="Standard"/>
    <tableColumn id="23" xr3:uid="{99E7EB3A-E54B-42FC-BFBC-142ADB8282DD}" uniqueName="23" name="Spalte1" queryTableFieldId="41" dataDxfId="1311"/>
    <tableColumn id="24" xr3:uid="{32105A3D-104F-4998-BD53-CAC74A97B71F}" uniqueName="24" name="Spalte2" queryTableFieldId="40" dataDxfId="1310"/>
    <tableColumn id="25" xr3:uid="{3E92BB4A-B23C-4C52-93D0-8AE2E400789B}" uniqueName="25" name="Spalte3" queryTableFieldId="39" dataDxfId="1309"/>
    <tableColumn id="26" xr3:uid="{07DF1DB8-10B5-47FC-AF65-C901BF5E81BD}" uniqueName="26" name="Spalte4" queryTableFieldId="38" dataDxfId="1308"/>
    <tableColumn id="27" xr3:uid="{1C495665-DAFC-4AA4-88CF-3B04B6AB830F}" uniqueName="27" name="Spalte5" queryTableFieldId="37" dataDxfId="1307"/>
    <tableColumn id="28" xr3:uid="{078CE735-8F7C-4C15-BF13-C42DCEBBEF78}" uniqueName="28" name="Spalte6" queryTableFieldId="36" dataDxfId="1306"/>
    <tableColumn id="29" xr3:uid="{8BEFF7CB-4099-4C1C-9676-C645F3C5CA4A}" uniqueName="29" name="Spalte7" queryTableFieldId="35" dataDxfId="1305"/>
    <tableColumn id="30" xr3:uid="{9534299B-9F5A-4287-96C5-E4F491861904}" uniqueName="30" name="Spalte8" queryTableFieldId="34" dataDxfId="1304"/>
    <tableColumn id="31" xr3:uid="{46F778B3-8C51-4566-965E-F98FF46C7957}" uniqueName="31" name="Spalte9" queryTableFieldId="33" dataDxfId="1303"/>
    <tableColumn id="32" xr3:uid="{E66BF26E-43A9-4CB6-8008-36598F79194A}" uniqueName="32" name="Spalte10" queryTableFieldId="32" dataDxfId="1302"/>
    <tableColumn id="33" xr3:uid="{CF2343A4-AD33-4554-B3B2-227495BED423}" uniqueName="33" name="Spalte11" queryTableFieldId="31" dataDxfId="1301"/>
    <tableColumn id="34" xr3:uid="{B40385AC-46A1-44A8-B1B6-5AE6A76E9A98}" uniqueName="34" name="Spalte12" queryTableFieldId="30" dataDxfId="1300"/>
    <tableColumn id="35" xr3:uid="{FF57E090-3BEB-4D3E-9A24-DB8588E35CE6}" uniqueName="35" name="Spalte13" queryTableFieldId="29" dataDxfId="1299"/>
    <tableColumn id="36" xr3:uid="{62428AD0-D0B9-4D94-A3A3-86C0E1110076}" uniqueName="36" name="Spalte14" queryTableFieldId="28" dataDxfId="1298"/>
    <tableColumn id="37" xr3:uid="{020BC8D7-4637-44B9-8D78-46CA807C0848}" uniqueName="37" name="Spalte15" queryTableFieldId="27" dataDxfId="1297"/>
    <tableColumn id="38" xr3:uid="{8DE31045-FA0E-4137-A953-36B1105E5E99}" uniqueName="38" name="Spalte16" queryTableFieldId="26" dataDxfId="1296"/>
    <tableColumn id="39" xr3:uid="{77E40867-4E01-48D9-B0BD-F6F498FD97A9}" uniqueName="39" name="Spalte17" queryTableFieldId="25" dataDxfId="1295"/>
    <tableColumn id="40" xr3:uid="{5ED98423-49B5-4B2F-9EC4-DD8DA27D4759}" uniqueName="40" name="Spalte18" queryTableFieldId="24" dataDxfId="1294"/>
    <tableColumn id="41" xr3:uid="{D8BE6F10-769E-4D36-B7BF-591057ABDFA9}" uniqueName="41" name="Spalte19" queryTableFieldId="23" dataDxfId="1293"/>
    <tableColumn id="42" xr3:uid="{E4E43D17-B3EB-4E0A-A2C9-D9CF637273E3}" uniqueName="42" name="Spalte20" queryTableFieldId="22" dataDxfId="1292"/>
    <tableColumn id="2" xr3:uid="{6C8F33A0-FCCE-462D-BBA6-DEE29242C065}" uniqueName="2" name="Column2" queryTableFieldId="2" dataDxfId="1291" dataCellStyle="Standard"/>
    <tableColumn id="3" xr3:uid="{C18AC478-7B1A-41FC-8A8E-25105C414F49}" uniqueName="3" name="Column3" queryTableFieldId="3" dataDxfId="1290" dataCellStyle="Standard"/>
    <tableColumn id="4" xr3:uid="{64BEAD76-1666-48ED-9320-5776FA34D6D8}" uniqueName="4" name="Column4" queryTableFieldId="4" dataDxfId="1289" dataCellStyle="Standard"/>
    <tableColumn id="5" xr3:uid="{D3C975DD-5FF0-42A2-887E-490C99847C21}" uniqueName="5" name="Column5" queryTableFieldId="5" dataDxfId="1288" dataCellStyle="Standard"/>
    <tableColumn id="6" xr3:uid="{29694129-D870-4844-A352-11B09EFB2117}" uniqueName="6" name="Column6" queryTableFieldId="6" dataDxfId="1287" dataCellStyle="Standard"/>
    <tableColumn id="7" xr3:uid="{6F8AEEEA-9CBD-4ECA-B5BF-D458305A051D}" uniqueName="7" name="Column7" queryTableFieldId="7" dataDxfId="1286" dataCellStyle="Standard"/>
    <tableColumn id="8" xr3:uid="{91099D7D-A0B8-40D7-BCF7-A01A32D19C12}" uniqueName="8" name="Column8" queryTableFieldId="8" dataDxfId="1285" dataCellStyle="Standard"/>
    <tableColumn id="9" xr3:uid="{74B3F867-F0C4-4E36-AABD-08DB826B3444}" uniqueName="9" name="Column9" queryTableFieldId="9" dataDxfId="1284" dataCellStyle="Standard"/>
    <tableColumn id="10" xr3:uid="{6A1B2322-E0D8-4BAE-BA4B-80B83DFADCD0}" uniqueName="10" name="Column10" queryTableFieldId="10" dataDxfId="1283" dataCellStyle="Standard"/>
    <tableColumn id="11" xr3:uid="{DA9BDCFE-D93E-4DCB-9A64-BD63D6FE8EF7}" uniqueName="11" name="Column11" queryTableFieldId="11" dataDxfId="1282" dataCellStyle="Standard"/>
    <tableColumn id="12" xr3:uid="{8BFBDF18-FAB6-4783-BE2D-2619D1E0F129}" uniqueName="12" name="Column12" queryTableFieldId="12" dataDxfId="1281" dataCellStyle="Standard"/>
    <tableColumn id="13" xr3:uid="{FD6CC67E-B304-4F4B-9627-607E954EA4D4}" uniqueName="13" name="Column13" queryTableFieldId="13" dataDxfId="1280" dataCellStyle="Standard"/>
    <tableColumn id="14" xr3:uid="{A6B0DAC8-67F4-43DF-9927-39F7A9D829CA}" uniqueName="14" name="Column14" queryTableFieldId="14" dataDxfId="1279" dataCellStyle="Standard"/>
    <tableColumn id="15" xr3:uid="{EEC94448-82EF-407D-83A3-5A36B47D4C42}" uniqueName="15" name="Column15" queryTableFieldId="15" dataDxfId="1278" dataCellStyle="Standard"/>
    <tableColumn id="16" xr3:uid="{E0860D1F-7829-493B-9160-7EDC3AA2A241}" uniqueName="16" name="Column16" queryTableFieldId="16" dataDxfId="1277" dataCellStyle="Standard"/>
    <tableColumn id="17" xr3:uid="{DD3D3E45-B981-42CB-8DC1-75D81E314381}" uniqueName="17" name="Column17" queryTableFieldId="17" dataDxfId="1276" dataCellStyle="Standard"/>
    <tableColumn id="18" xr3:uid="{ABE43A9C-3B10-410D-9306-8D151AB09690}" uniqueName="18" name="Column18" queryTableFieldId="18" dataDxfId="1275" dataCellStyle="Standard"/>
    <tableColumn id="19" xr3:uid="{07B68735-1DD8-4B9C-AB71-D408DA45F0BD}" uniqueName="19" name="Column19" queryTableFieldId="19" dataDxfId="1274" dataCellStyle="Standard"/>
    <tableColumn id="20" xr3:uid="{9B9E01CA-56FF-4D1E-A2F9-B2BE38A19844}" uniqueName="20" name="Column20" queryTableFieldId="20" dataDxfId="1273" dataCellStyle="Standard"/>
    <tableColumn id="21" xr3:uid="{1B735BFE-4A00-412E-B959-6FFB258F1950}" uniqueName="21" name="Column21" queryTableFieldId="21" dataDxfId="1272" dataCellStyle="Standard"/>
    <tableColumn id="22" xr3:uid="{6B63665C-B23E-4DFA-BCAD-A371EEB3B47E}" uniqueName="22" name="Spalte21" queryTableFieldId="42" headerRowDxfId="1271" dataDxfId="1270" headerRowCellStyle="Standard" dataCellStyle="Standard"/>
    <tableColumn id="43" xr3:uid="{52E7B24E-5CDC-4597-BA10-61CF6DC12EEE}" uniqueName="43" name="Spalte22" queryTableFieldId="43" headerRowDxfId="1269" dataDxfId="1268" headerRowCellStyle="Standard" dataCellStyle="Standard"/>
    <tableColumn id="44" xr3:uid="{6D868456-5B8E-44D9-A514-5AF7CB605794}" uniqueName="44" name="Spalte23" queryTableFieldId="44" headerRowDxfId="1267" dataDxfId="1266" headerRowCellStyle="Standard" dataCellStyle="Standard"/>
    <tableColumn id="45" xr3:uid="{D299F93A-3763-4416-8E48-DDF714D81439}" uniqueName="45" name="Spalte24" queryTableFieldId="45" headerRowDxfId="1265" dataDxfId="1264" headerRowCellStyle="Standard" dataCellStyle="Standard"/>
    <tableColumn id="46" xr3:uid="{5459DE34-F97B-4547-B5D3-A081F5F97E99}" uniqueName="46" name="Spalte25" queryTableFieldId="46" headerRowDxfId="1263" dataDxfId="1262" headerRowCellStyle="Standard" dataCellStyle="Standard"/>
    <tableColumn id="47" xr3:uid="{68302170-D0F7-4C21-B5DB-A38FDA173254}" uniqueName="47" name="Spalte26" queryTableFieldId="47" headerRowDxfId="1261" dataDxfId="1260" headerRowCellStyle="Standard" dataCellStyle="Standard"/>
    <tableColumn id="48" xr3:uid="{D87CE925-C1FB-41D9-B0D1-59DAB00A6BE4}" uniqueName="48" name="Spalte27" queryTableFieldId="48" headerRowDxfId="1259" dataDxfId="1258" headerRowCellStyle="Standard" dataCellStyle="Standard"/>
    <tableColumn id="49" xr3:uid="{EB7C91C9-4FC6-4ED1-AEB1-A657CFD0929B}" uniqueName="49" name="Spalte28" queryTableFieldId="49" headerRowDxfId="1257" dataDxfId="1256" headerRowCellStyle="Standard" dataCellStyle="Standard"/>
    <tableColumn id="50" xr3:uid="{6813E25E-E495-4B7B-9346-28A59E7D76DF}" uniqueName="50" name="Spalte29" queryTableFieldId="50" headerRowDxfId="1255" dataDxfId="1254" headerRowCellStyle="Standard" dataCellStyle="Standard"/>
    <tableColumn id="51" xr3:uid="{D1543B77-CBC2-462C-A45E-8136D3104C9F}" uniqueName="51" name="Spalte30" queryTableFieldId="51" headerRowDxfId="1253" dataDxfId="1252" headerRowCellStyle="Standard" dataCellStyle="Standard"/>
    <tableColumn id="52" xr3:uid="{66F32E1A-336E-4F47-91ED-C1E8A3C60AE3}" uniqueName="52" name="Spalte31" queryTableFieldId="52" headerRowDxfId="1251" dataDxfId="1250" headerRowCellStyle="Standard" dataCellStyle="Standard"/>
    <tableColumn id="53" xr3:uid="{1101899F-A9C9-46FD-9D71-730EF2614D41}" uniqueName="53" name="Spalte32" queryTableFieldId="53" headerRowDxfId="1249" dataDxfId="1248" headerRowCellStyle="Standard" dataCellStyle="Standard"/>
    <tableColumn id="54" xr3:uid="{4B353F99-6735-4A21-8B21-6DC204973006}" uniqueName="54" name="Spalte33" queryTableFieldId="54" headerRowDxfId="1247" dataDxfId="1246" headerRowCellStyle="Standard" dataCellStyle="Standard"/>
    <tableColumn id="55" xr3:uid="{65D7C89F-85BE-4718-B6F0-27B7A765C35C}" uniqueName="55" name="Spalte34" queryTableFieldId="55" headerRowDxfId="1245" dataDxfId="1244" headerRowCellStyle="Standard" dataCellStyle="Standard"/>
    <tableColumn id="56" xr3:uid="{45973259-2946-4C55-BD6D-AF903C957D80}" uniqueName="56" name="Spalte35" queryTableFieldId="56" headerRowDxfId="1243" dataDxfId="1242" headerRowCellStyle="Standard" dataCellStyle="Standard"/>
    <tableColumn id="57" xr3:uid="{21D013E5-DE43-455F-9201-AC10F8E0EDA0}" uniqueName="57" name="Spalte36" queryTableFieldId="57" headerRowDxfId="1241" dataDxfId="1240" headerRowCellStyle="Standard" dataCellStyle="Standard"/>
    <tableColumn id="58" xr3:uid="{F259DC07-AB50-4899-B3B7-45BB3D1A48BC}" uniqueName="58" name="Spalte37" queryTableFieldId="58" headerRowDxfId="1239" dataDxfId="1238" headerRowCellStyle="Standard" dataCellStyle="Standard"/>
    <tableColumn id="59" xr3:uid="{3FBC4ABF-94A3-433D-B813-3BBF5BC20767}" uniqueName="59" name="Spalte38" queryTableFieldId="59" headerRowDxfId="1237" dataDxfId="1236" headerRowCellStyle="Standard" dataCellStyle="Standard"/>
    <tableColumn id="60" xr3:uid="{0F68A718-54AE-4646-AE50-153DCA797A67}" uniqueName="60" name="Spalte39" queryTableFieldId="60" headerRowDxfId="1235" dataDxfId="1234" headerRowCellStyle="Standard" dataCellStyle="Standard"/>
    <tableColumn id="61" xr3:uid="{240FFA62-719C-4C62-8B5A-7DE1FA10410C}" uniqueName="61" name="Spalte40" queryTableFieldId="61" headerRowDxfId="1233" dataDxfId="1232" headerRowCellStyle="Standard" dataCellStyle="Standard"/>
    <tableColumn id="62" xr3:uid="{E7E125C9-EE19-43DD-AAAF-0594AC646B9F}" uniqueName="62" name="Spalte41" queryTableFieldId="62" headerRowDxfId="1231" dataDxfId="1230" headerRowCellStyle="Standard" dataCellStyle="Standard"/>
    <tableColumn id="63" xr3:uid="{1D75B7CC-076C-4D4E-BE22-0801099A3FE5}" uniqueName="63" name="Spalte42" queryTableFieldId="63" headerRowDxfId="1229" dataDxfId="1228" headerRowCellStyle="Standard" dataCellStyle="Standard"/>
    <tableColumn id="64" xr3:uid="{D256BE97-D008-4623-9C11-19833A011026}" uniqueName="64" name="Spalte43" queryTableFieldId="64" headerRowDxfId="1227" dataDxfId="1226" headerRowCellStyle="Standard" dataCellStyle="Standard"/>
    <tableColumn id="65" xr3:uid="{486D0033-C8AB-4737-8E94-E80E918B3F89}" uniqueName="65" name="Spalte44" queryTableFieldId="65" headerRowDxfId="1225" dataDxfId="1224" headerRowCellStyle="Standard" dataCellStyle="Standard"/>
    <tableColumn id="66" xr3:uid="{E9FB1E2F-90EF-4F50-8B57-A093B8614D2C}" uniqueName="66" name="Spalte45" queryTableFieldId="66" headerRowDxfId="1223" dataDxfId="1222" headerRowCellStyle="Standard" dataCellStyle="Standard"/>
    <tableColumn id="67" xr3:uid="{7A316394-F30D-46D6-A0AC-C1DCB8552A05}" uniqueName="67" name="Spalte46" queryTableFieldId="67" headerRowDxfId="1221" dataDxfId="1220" headerRowCellStyle="Standard" dataCellStyle="Standard"/>
    <tableColumn id="68" xr3:uid="{2C8FEA43-F953-40BA-9648-DA11515C30DF}" uniqueName="68" name="Spalte47" queryTableFieldId="68" headerRowDxfId="1219" dataDxfId="1218" headerRowCellStyle="Standard" dataCellStyle="Standard"/>
    <tableColumn id="69" xr3:uid="{D3FB18FC-DF5C-4019-94DD-5D833BAF1754}" uniqueName="69" name="Spalte48" queryTableFieldId="69" headerRowDxfId="1217" dataDxfId="1216" headerRowCellStyle="Standard" dataCellStyle="Standard"/>
    <tableColumn id="70" xr3:uid="{2E46CF2A-E789-4B13-A7C8-00D6CE87EDEE}" uniqueName="70" name="Spalte49" queryTableFieldId="70" headerRowDxfId="1215" dataDxfId="1214" headerRowCellStyle="Standard" dataCellStyle="Standard"/>
    <tableColumn id="71" xr3:uid="{C161E511-8123-4EA3-BB4E-F1EE0256F6B7}" uniqueName="71" name="Spalte50" queryTableFieldId="71" headerRowDxfId="1213" dataDxfId="1212" headerRowCellStyle="Standard" dataCellStyle="Standard"/>
    <tableColumn id="72" xr3:uid="{26E9C5C0-B1F5-4FC4-B6C9-20CA8C046605}" uniqueName="72" name="Spalte51" queryTableFieldId="72" headerRowDxfId="1211" dataDxfId="1210" headerRowCellStyle="Standard" dataCellStyle="Standard"/>
    <tableColumn id="73" xr3:uid="{87BF96DA-590F-4B0C-8850-2F1BDDC85718}" uniqueName="73" name="Spalte52" queryTableFieldId="73" headerRowDxfId="1209" dataDxfId="1208" headerRowCellStyle="Standard" dataCellStyle="Standard"/>
    <tableColumn id="74" xr3:uid="{87D90C2B-2CC9-41D1-B2C4-F6CB1D9DF24F}" uniqueName="74" name="Spalte53" queryTableFieldId="74" headerRowDxfId="1207" dataDxfId="1206" headerRowCellStyle="Standard" dataCellStyle="Standard"/>
    <tableColumn id="75" xr3:uid="{35BDDB15-47FF-4460-BD90-CE2E94F0A71E}" uniqueName="75" name="Spalte54" queryTableFieldId="75" headerRowDxfId="1205" dataDxfId="1204" headerRowCellStyle="Standard" dataCellStyle="Standard"/>
    <tableColumn id="76" xr3:uid="{CCB26CF2-301F-443A-B563-6F6F997875D2}" uniqueName="76" name="Spalte55" queryTableFieldId="76" headerRowDxfId="1203" dataDxfId="1202" headerRowCellStyle="Standard" dataCellStyle="Standard"/>
    <tableColumn id="77" xr3:uid="{96F3EF94-7FE9-43F4-82AD-5BB43ECA7823}" uniqueName="77" name="Spalte56" queryTableFieldId="77" headerRowDxfId="1201" dataDxfId="1200" headerRowCellStyle="Standard" dataCellStyle="Standard"/>
    <tableColumn id="78" xr3:uid="{6F795C58-6815-40A6-8DD7-361A4B68038F}" uniqueName="78" name="Spalte57" queryTableFieldId="78" headerRowDxfId="1199" dataDxfId="1198" headerRowCellStyle="Standard" dataCellStyle="Standard"/>
    <tableColumn id="79" xr3:uid="{8BCF1FD5-281A-4AED-A22D-37AEF353A2B6}" uniqueName="79" name="Spalte58" queryTableFieldId="79" headerRowDxfId="1197" dataDxfId="1196" headerRowCellStyle="Standard" dataCellStyle="Standard"/>
    <tableColumn id="80" xr3:uid="{79915F5F-A52C-449E-8242-D2CDCB0A7808}" uniqueName="80" name="Spalte59" queryTableFieldId="80" headerRowDxfId="1195" dataDxfId="1194" headerRowCellStyle="Standard" dataCellStyle="Standard"/>
    <tableColumn id="81" xr3:uid="{550AA14F-4C45-4FFB-92BC-3296C6C4FFC2}" uniqueName="81" name="Spalte60" queryTableFieldId="81" headerRowDxfId="1193" dataDxfId="1192" headerRowCellStyle="Standard" dataCellStyle="Standard"/>
    <tableColumn id="82" xr3:uid="{0B59B91B-42A8-4026-8EB8-63888FEB0FD9}" uniqueName="82" name="Spalte61" queryTableFieldId="82" headerRowDxfId="1191" dataDxfId="1190" headerRowCellStyle="Standard" dataCellStyle="Standard"/>
    <tableColumn id="83" xr3:uid="{7BF0F47E-EFA1-4CC0-A311-D91A0B8CA5A2}" uniqueName="83" name="Spalte62" queryTableFieldId="83" headerRowDxfId="1189" dataDxfId="1188" headerRowCellStyle="Standard" dataCellStyle="Standard"/>
    <tableColumn id="84" xr3:uid="{08CC9ACB-F39E-459F-B592-C4DD8C68B0EA}" uniqueName="84" name="Spalte63" queryTableFieldId="84" headerRowDxfId="1187" dataDxfId="1186" headerRowCellStyle="Standard" dataCellStyle="Standard"/>
    <tableColumn id="85" xr3:uid="{72DEC947-19B5-429E-B097-55AEA75E8F41}" uniqueName="85" name="Spalte64" queryTableFieldId="85" headerRowDxfId="1185" dataDxfId="1184" headerRowCellStyle="Standard" dataCellStyle="Standard"/>
    <tableColumn id="86" xr3:uid="{8E6E35E1-4B6C-43FD-BDCE-31A49457E6EA}" uniqueName="86" name="Spalte65" queryTableFieldId="86" headerRowDxfId="1183" dataDxfId="1182" headerRowCellStyle="Standard" dataCellStyle="Standard"/>
    <tableColumn id="87" xr3:uid="{3EFABC5C-B618-424E-8370-F4F2187E562B}" uniqueName="87" name="Spalte66" queryTableFieldId="87" headerRowDxfId="1181" dataDxfId="1180" headerRowCellStyle="Standard" dataCellStyle="Standard"/>
    <tableColumn id="88" xr3:uid="{2EF8C80E-B8DC-498C-9140-D8F530D18BA1}" uniqueName="88" name="Spalte67" queryTableFieldId="88" headerRowDxfId="1179" dataDxfId="1178" headerRowCellStyle="Standard" dataCellStyle="Standard"/>
    <tableColumn id="89" xr3:uid="{6E59109C-D6FA-495B-AEBC-DA6594EAC214}" uniqueName="89" name="Spalte68" queryTableFieldId="89" headerRowDxfId="1177" dataDxfId="1176" headerRowCellStyle="Standard" dataCellStyle="Standard"/>
    <tableColumn id="90" xr3:uid="{32F4AA71-DE69-49CE-AD7F-B68288FB531E}" uniqueName="90" name="Spalte69" queryTableFieldId="90" headerRowDxfId="1175" dataDxfId="1174" headerRowCellStyle="Standard" dataCellStyle="Standard"/>
    <tableColumn id="91" xr3:uid="{6C41876E-D5E0-44FF-A246-E88A0DE0AF8B}" uniqueName="91" name="Spalte70" queryTableFieldId="91" headerRowDxfId="1173" dataDxfId="1172" headerRowCellStyle="Standard" dataCellStyle="Standard"/>
    <tableColumn id="92" xr3:uid="{4C595E09-EFC4-4889-9168-5CD3239AA5B6}" uniqueName="92" name="Spalte71" queryTableFieldId="92" headerRowDxfId="1171" dataDxfId="1170" headerRowCellStyle="Standard" dataCellStyle="Standard"/>
    <tableColumn id="93" xr3:uid="{E050FCA7-3E55-430C-B943-7EE6ACE95E92}" uniqueName="93" name="Spalte72" queryTableFieldId="93" headerRowDxfId="1169" dataDxfId="1168" headerRowCellStyle="Standard" dataCellStyle="Standard"/>
    <tableColumn id="94" xr3:uid="{1B15EFDE-0D16-4FB1-BAB3-1434A0DBA388}" uniqueName="94" name="Spalte73" queryTableFieldId="94" headerRowDxfId="1167" dataDxfId="1166" headerRowCellStyle="Standard" dataCellStyle="Standard"/>
    <tableColumn id="95" xr3:uid="{E3D76E65-09DF-4B37-8147-C7F776894B05}" uniqueName="95" name="Spalte74" queryTableFieldId="95" headerRowDxfId="1165" dataDxfId="1164" headerRowCellStyle="Standard" dataCellStyle="Standard"/>
    <tableColumn id="96" xr3:uid="{C1C67371-E957-4A17-B85B-D293085476D9}" uniqueName="96" name="Spalte75" queryTableFieldId="96" headerRowDxfId="1163" dataDxfId="1162" headerRowCellStyle="Standard" dataCellStyle="Standard"/>
    <tableColumn id="97" xr3:uid="{98826B60-3E7D-458D-B73F-19F026833C16}" uniqueName="97" name="Spalte76" queryTableFieldId="97" headerRowDxfId="1161" dataDxfId="1160" headerRowCellStyle="Standard" dataCellStyle="Standard"/>
    <tableColumn id="98" xr3:uid="{636ABB15-006E-4634-9997-31CE288E247F}" uniqueName="98" name="Spalte77" queryTableFieldId="98" headerRowDxfId="1159" dataDxfId="1158" headerRowCellStyle="Standard" dataCellStyle="Standard"/>
    <tableColumn id="99" xr3:uid="{4225C1CD-D44F-4B39-B588-21785CF5A3EA}" uniqueName="99" name="Spalte78" queryTableFieldId="99" headerRowDxfId="1157" dataDxfId="1156" headerRowCellStyle="Standard" dataCellStyle="Standard"/>
    <tableColumn id="100" xr3:uid="{783E19A0-4A63-4F17-8B45-4456A83BF06B}" uniqueName="100" name="Spalte79" queryTableFieldId="100" headerRowDxfId="1155" dataDxfId="1154" headerRowCellStyle="Standard" dataCellStyle="Standard"/>
    <tableColumn id="101" xr3:uid="{892458B4-3029-40E7-955D-A4AAD4EECA7D}" uniqueName="101" name="Spalte80" queryTableFieldId="101" headerRowDxfId="1153" dataDxfId="1152" headerRowCellStyle="Standard" dataCellStyle="Standard"/>
    <tableColumn id="102" xr3:uid="{0CC68814-7C21-4FDB-BA57-7940027ED0FD}" uniqueName="102" name="Spalte81" queryTableFieldId="102" headerRowDxfId="1151" dataDxfId="1150" headerRowCellStyle="Standard" dataCellStyle="Standard"/>
    <tableColumn id="103" xr3:uid="{D527B805-5928-4968-BAE8-04C6AFF7A268}" uniqueName="103" name="Spalte82" queryTableFieldId="103" headerRowDxfId="1149" dataDxfId="1148" headerRowCellStyle="Standard" dataCellStyle="Standard"/>
    <tableColumn id="104" xr3:uid="{9068E177-C55F-4FE1-98BD-16B0646149C4}" uniqueName="104" name="Spalte83" queryTableFieldId="104" headerRowDxfId="1147" dataDxfId="1146" headerRowCellStyle="Standard" dataCellStyle="Standard"/>
    <tableColumn id="105" xr3:uid="{51C06663-B273-4866-9350-3AA70108C7F6}" uniqueName="105" name="Spalte84" queryTableFieldId="105" headerRowDxfId="1145" dataDxfId="1144" headerRowCellStyle="Standard" dataCellStyle="Standard"/>
    <tableColumn id="106" xr3:uid="{28A7ED6D-0D7E-4C88-B4F9-D96966917A6C}" uniqueName="106" name="Spalte85" queryTableFieldId="106" headerRowDxfId="1143" dataDxfId="1142" headerRowCellStyle="Standard" dataCellStyle="Standard"/>
    <tableColumn id="107" xr3:uid="{4DDF5293-74B4-4836-8463-D110092CC0FA}" uniqueName="107" name="Spalte86" queryTableFieldId="107" headerRowDxfId="1141" dataDxfId="1140" headerRowCellStyle="Standard" dataCellStyle="Standard"/>
    <tableColumn id="108" xr3:uid="{3F959C71-C583-448C-B9CA-EE8466D41DD8}" uniqueName="108" name="Spalte87" queryTableFieldId="108" headerRowDxfId="1139" dataDxfId="1138" headerRowCellStyle="Standard" dataCellStyle="Standard"/>
    <tableColumn id="109" xr3:uid="{0656959D-8D59-43D8-A41F-C96823DD9C3A}" uniqueName="109" name="Spalte88" queryTableFieldId="109" headerRowDxfId="1137" dataDxfId="1136" headerRowCellStyle="Standard" dataCellStyle="Standard"/>
    <tableColumn id="110" xr3:uid="{6F88CE83-8677-46AD-92A7-15F09228466D}" uniqueName="110" name="Spalte89" queryTableFieldId="110" headerRowDxfId="1135" dataDxfId="1134" headerRowCellStyle="Standard" dataCellStyle="Standard"/>
    <tableColumn id="111" xr3:uid="{57A768F3-FEBE-4F43-A25C-7725F03448AC}" uniqueName="111" name="Spalte90" queryTableFieldId="111" headerRowDxfId="1133" dataDxfId="1132" headerRowCellStyle="Standard" dataCellStyle="Standard"/>
    <tableColumn id="112" xr3:uid="{BD5D1D63-0772-4719-BF7C-EBAD5F7A7A82}" uniqueName="112" name="Spalte91" queryTableFieldId="112" headerRowDxfId="1131" dataDxfId="1130" headerRowCellStyle="Standard" dataCellStyle="Standard"/>
    <tableColumn id="113" xr3:uid="{16CD40A5-F0F9-442E-A146-B5870B76B65A}" uniqueName="113" name="Spalte92" queryTableFieldId="113" headerRowDxfId="1129" dataDxfId="1128" headerRowCellStyle="Standard" dataCellStyle="Standard"/>
    <tableColumn id="114" xr3:uid="{04C20DDC-99A6-437D-A4AB-AD299B7849FB}" uniqueName="114" name="Spalte93" queryTableFieldId="114" headerRowDxfId="1127" dataDxfId="1126" headerRowCellStyle="Standard" dataCellStyle="Standard"/>
    <tableColumn id="115" xr3:uid="{D2C20050-CC2C-44ED-8E31-1D47061D2FEC}" uniqueName="115" name="Spalte94" queryTableFieldId="115" headerRowDxfId="1125" dataDxfId="1124" headerRowCellStyle="Standard" dataCellStyle="Standard"/>
    <tableColumn id="116" xr3:uid="{2AA78CB7-58D0-46CD-9A79-BE95C72AA459}" uniqueName="116" name="Spalte95" queryTableFieldId="116" headerRowDxfId="1123" dataDxfId="1122" headerRowCellStyle="Standard" dataCellStyle="Standard"/>
    <tableColumn id="117" xr3:uid="{AF3D4AB5-4AC6-4FD5-8F17-CD7580C1095D}" uniqueName="117" name="Spalte96" queryTableFieldId="117" headerRowDxfId="1121" dataDxfId="1120" headerRowCellStyle="Standard" dataCellStyle="Standard"/>
    <tableColumn id="118" xr3:uid="{539D1FEE-3DE0-4D2D-8EF0-24F7F0111E07}" uniqueName="118" name="Spalte97" queryTableFieldId="118" headerRowDxfId="1119" dataDxfId="1118" headerRowCellStyle="Standard" dataCellStyle="Standard"/>
    <tableColumn id="119" xr3:uid="{E1AEBE5F-152E-4A73-92C2-F49D9B74C401}" uniqueName="119" name="Spalte98" queryTableFieldId="119" headerRowDxfId="1117" dataDxfId="1116" headerRowCellStyle="Standard" dataCellStyle="Standard"/>
    <tableColumn id="120" xr3:uid="{F0596972-73C4-41EB-995D-9668379C740A}" uniqueName="120" name="Spalte99" queryTableFieldId="120" headerRowDxfId="1115" dataDxfId="1114" headerRowCellStyle="Standard" dataCellStyle="Standard"/>
    <tableColumn id="121" xr3:uid="{20DDC1B7-98C1-4770-B9FD-A9FBD7B2FCBB}" uniqueName="121" name="Spalte100" queryTableFieldId="121" headerRowDxfId="1113" dataDxfId="1112" headerRowCellStyle="Standard" dataCellStyle="Standard"/>
    <tableColumn id="122" xr3:uid="{64B71E5F-0D3B-40B4-B52A-D3E9B9633BE3}" uniqueName="122" name="Spalte101" queryTableFieldId="122" headerRowDxfId="1111" dataDxfId="1110" headerRowCellStyle="Standard" dataCellStyle="Standard"/>
    <tableColumn id="123" xr3:uid="{CEA87964-A8B6-4FF8-A99E-3A9F32F5DDD4}" uniqueName="123" name="Spalte102" queryTableFieldId="123" headerRowDxfId="1109" dataDxfId="1108" headerRowCellStyle="Standard" dataCellStyle="Standard"/>
    <tableColumn id="124" xr3:uid="{6CE81A33-7F81-4266-951A-7FA6C338E0F8}" uniqueName="124" name="Spalte103" queryTableFieldId="124" headerRowDxfId="1107" dataDxfId="1106" headerRowCellStyle="Standard" dataCellStyle="Standard"/>
    <tableColumn id="125" xr3:uid="{B4687280-754C-4FFA-A389-AECBBDEB2089}" uniqueName="125" name="Spalte104" queryTableFieldId="125" headerRowDxfId="1105" dataDxfId="1104" headerRowCellStyle="Standard" dataCellStyle="Standard"/>
    <tableColumn id="126" xr3:uid="{3AD50077-8EAE-467A-82E1-D8E8ADB10D20}" uniqueName="126" name="Spalte105" queryTableFieldId="126" headerRowDxfId="1103" dataDxfId="1102" headerRowCellStyle="Standard" dataCellStyle="Standard"/>
    <tableColumn id="127" xr3:uid="{92134672-6D34-4BB4-A740-D4D88EF90B3D}" uniqueName="127" name="Spalte106" queryTableFieldId="127" headerRowDxfId="1101" dataDxfId="1100" headerRowCellStyle="Standard" dataCellStyle="Standard"/>
    <tableColumn id="128" xr3:uid="{BEEDBC7A-14ED-4A05-BB4E-A7A90EB8093A}" uniqueName="128" name="Spalte107" queryTableFieldId="128" headerRowDxfId="1099" dataDxfId="1098" headerRowCellStyle="Standard" dataCellStyle="Standard"/>
    <tableColumn id="129" xr3:uid="{945ADD73-2256-4387-B3FC-DC38418C57DD}" uniqueName="129" name="Spalte108" queryTableFieldId="129" headerRowDxfId="1097" dataDxfId="1096" headerRowCellStyle="Standard" dataCellStyle="Standard"/>
    <tableColumn id="130" xr3:uid="{E2324E7A-8199-4AFF-A22D-E6A4AE63D8E6}" uniqueName="130" name="Spalte109" queryTableFieldId="130" headerRowDxfId="1095" dataDxfId="1094" headerRowCellStyle="Standard" dataCellStyle="Standard"/>
    <tableColumn id="131" xr3:uid="{271CABD9-537A-401E-A3CE-C5878C6130BA}" uniqueName="131" name="Spalte110" queryTableFieldId="131" headerRowDxfId="1093" dataDxfId="1092" headerRowCellStyle="Standard" dataCellStyle="Standard"/>
    <tableColumn id="132" xr3:uid="{245D5367-389B-4971-8AEE-EDB1709F5241}" uniqueName="132" name="Spalte111" queryTableFieldId="132" headerRowDxfId="1091" dataDxfId="1090" headerRowCellStyle="Standard" dataCellStyle="Standard"/>
    <tableColumn id="133" xr3:uid="{DE808C4E-04B6-4322-9DC2-F8AF6B3C7F23}" uniqueName="133" name="Spalte112" queryTableFieldId="133" headerRowDxfId="1089" dataDxfId="1088" headerRowCellStyle="Standard" dataCellStyle="Standard"/>
    <tableColumn id="134" xr3:uid="{4F71860A-2BF7-4FB6-8FCB-7CFB0DA3BC0C}" uniqueName="134" name="Spalte113" queryTableFieldId="134" headerRowDxfId="1087" dataDxfId="1086" headerRowCellStyle="Standard" dataCellStyle="Standard"/>
    <tableColumn id="135" xr3:uid="{2E6F0ADC-1173-49FF-BABA-0B002537222C}" uniqueName="135" name="Spalte114" queryTableFieldId="135" headerRowDxfId="1085" dataDxfId="1084" headerRowCellStyle="Standard" dataCellStyle="Standard"/>
    <tableColumn id="136" xr3:uid="{AD9BE146-9030-4A06-BE13-58A02952ADDE}" uniqueName="136" name="Spalte115" queryTableFieldId="136" headerRowDxfId="1083" dataDxfId="1082" headerRowCellStyle="Standard" dataCellStyle="Standard"/>
    <tableColumn id="137" xr3:uid="{A739EABE-D05A-4E6C-9106-966711B6E7BC}" uniqueName="137" name="Spalte116" queryTableFieldId="137" headerRowDxfId="1081" dataDxfId="1080" headerRowCellStyle="Standard" dataCellStyle="Standard"/>
    <tableColumn id="138" xr3:uid="{59D1F08F-65A6-49AA-B669-5478ACC3D0E5}" uniqueName="138" name="Spalte117" queryTableFieldId="138" headerRowDxfId="1079" dataDxfId="1078" headerRowCellStyle="Standard" dataCellStyle="Standard"/>
    <tableColumn id="139" xr3:uid="{3D579839-8E4C-49C1-93B7-4B160B81BE67}" uniqueName="139" name="Spalte118" queryTableFieldId="139" headerRowDxfId="1077" dataDxfId="1076" headerRowCellStyle="Standard" dataCellStyle="Standard"/>
    <tableColumn id="140" xr3:uid="{225333D8-F5B3-4649-9696-EC613CC2BD1C}" uniqueName="140" name="Spalte119" queryTableFieldId="140" headerRowDxfId="1075" dataDxfId="1074" headerRowCellStyle="Standard" dataCellStyle="Standard"/>
    <tableColumn id="141" xr3:uid="{48E307B5-80D5-46BF-8430-44A9F4CF021B}" uniqueName="141" name="Spalte120" queryTableFieldId="141" headerRowDxfId="1073" dataDxfId="1072" headerRowCellStyle="Standard" dataCellStyle="Standard"/>
    <tableColumn id="142" xr3:uid="{EA8E4B5E-0874-438C-A06E-6F613E820621}" uniqueName="142" name="Spalte121" queryTableFieldId="142" headerRowDxfId="1071" dataDxfId="1070" headerRowCellStyle="Standard" dataCellStyle="Standard"/>
    <tableColumn id="143" xr3:uid="{557637B0-25B0-4048-956B-D7A6F81DF251}" uniqueName="143" name="Spalte122" queryTableFieldId="143" headerRowDxfId="1069" dataDxfId="1068" headerRowCellStyle="Standard" dataCellStyle="Standard"/>
    <tableColumn id="144" xr3:uid="{D09A333E-DB75-451D-B453-59F26F1A7673}" uniqueName="144" name="Spalte123" queryTableFieldId="144" headerRowDxfId="1067" dataDxfId="1066" headerRowCellStyle="Standard" dataCellStyle="Standard"/>
    <tableColumn id="145" xr3:uid="{CF0DA02B-6EF8-4FDA-8419-12E2D4771EB8}" uniqueName="145" name="Spalte124" queryTableFieldId="145" headerRowDxfId="1065" dataDxfId="1064" headerRowCellStyle="Standard" dataCellStyle="Standard"/>
    <tableColumn id="146" xr3:uid="{3D17E9C5-64CE-4224-9166-A7927075F18E}" uniqueName="146" name="Spalte125" queryTableFieldId="146" headerRowDxfId="1063" dataDxfId="1062" headerRowCellStyle="Standard" dataCellStyle="Standard"/>
    <tableColumn id="147" xr3:uid="{51CE3E14-DA12-4144-A74B-694034FE90AF}" uniqueName="147" name="Spalte126" queryTableFieldId="147" headerRowDxfId="1061" dataDxfId="1060" headerRowCellStyle="Standard" dataCellStyle="Standard"/>
    <tableColumn id="148" xr3:uid="{BF39102B-485D-4836-9A4D-E2E820B6C522}" uniqueName="148" name="Spalte127" queryTableFieldId="148" headerRowDxfId="1059" dataDxfId="1058" headerRowCellStyle="Standard" dataCellStyle="Standard"/>
    <tableColumn id="149" xr3:uid="{B4907AC3-5D22-49CC-8A2A-E6E61FFB982F}" uniqueName="149" name="Spalte128" queryTableFieldId="149" headerRowDxfId="1057" dataDxfId="1056" headerRowCellStyle="Standard" dataCellStyle="Standard"/>
    <tableColumn id="150" xr3:uid="{5A2BFD72-4558-4A5D-A334-A632A65A6A9D}" uniqueName="150" name="Spalte129" queryTableFieldId="150" headerRowDxfId="1055" dataDxfId="1054" headerRowCellStyle="Standard" dataCellStyle="Standard"/>
    <tableColumn id="151" xr3:uid="{06AF9CDF-C6EF-47BC-A170-AE0BF9931465}" uniqueName="151" name="Spalte130" queryTableFieldId="151" headerRowDxfId="1053" dataDxfId="1052" headerRowCellStyle="Standard" dataCellStyle="Standard"/>
    <tableColumn id="152" xr3:uid="{2369CCF2-092F-434A-8335-03B0A97026E2}" uniqueName="152" name="Spalte131" queryTableFieldId="152" headerRowDxfId="1051" dataDxfId="1050" headerRowCellStyle="Standard" dataCellStyle="Standard"/>
    <tableColumn id="153" xr3:uid="{7468C2B7-A3BA-4586-8E1D-6A9252AA92A7}" uniqueName="153" name="Spalte132" queryTableFieldId="153" headerRowDxfId="1049" dataDxfId="1048" headerRowCellStyle="Standard" dataCellStyle="Standard"/>
    <tableColumn id="154" xr3:uid="{3DF707AE-058F-45E3-AD4E-C58828ACC79C}" uniqueName="154" name="Spalte133" queryTableFieldId="154" headerRowDxfId="1047" dataDxfId="1046" headerRowCellStyle="Standard" dataCellStyle="Standard"/>
    <tableColumn id="155" xr3:uid="{540774C1-0700-4729-8CFC-5A19C0BB2916}" uniqueName="155" name="Spalte134" queryTableFieldId="155" headerRowDxfId="1045" dataDxfId="1044" headerRowCellStyle="Standard" dataCellStyle="Standard"/>
    <tableColumn id="156" xr3:uid="{6C27AA2D-6649-4302-A8CF-040DE1EE861A}" uniqueName="156" name="Spalte135" queryTableFieldId="156" headerRowDxfId="1043" dataDxfId="1042" headerRowCellStyle="Standard" dataCellStyle="Standard"/>
    <tableColumn id="157" xr3:uid="{94DB31E1-89A1-4DB5-BA3E-707510EBA25F}" uniqueName="157" name="Spalte136" queryTableFieldId="157" headerRowDxfId="1041" dataDxfId="1040" headerRowCellStyle="Standard" dataCellStyle="Standard"/>
    <tableColumn id="158" xr3:uid="{072067E7-CF25-4728-8A49-821967E550AD}" uniqueName="158" name="Spalte137" queryTableFieldId="158" headerRowDxfId="1039" dataDxfId="1038" headerRowCellStyle="Standard" dataCellStyle="Standard"/>
    <tableColumn id="159" xr3:uid="{47BF97D3-3615-41DB-9024-D6C458D6B30D}" uniqueName="159" name="Spalte138" queryTableFieldId="159" headerRowDxfId="1037" dataDxfId="1036" headerRowCellStyle="Standard" dataCellStyle="Standard"/>
    <tableColumn id="160" xr3:uid="{22F00F89-1792-4B08-8796-A44618B26AA5}" uniqueName="160" name="Spalte139" queryTableFieldId="160" headerRowDxfId="1035" dataDxfId="1034" headerRowCellStyle="Standard" dataCellStyle="Standard"/>
    <tableColumn id="161" xr3:uid="{B5ACDE43-8367-4B33-AF6C-81EC6CA6259C}" uniqueName="161" name="Spalte140" queryTableFieldId="161" headerRowDxfId="1033" dataDxfId="1032" headerRowCellStyle="Standard" dataCellStyle="Standard"/>
    <tableColumn id="162" xr3:uid="{0F6DCDC5-7AD9-442B-89C4-5BFA1363E809}" uniqueName="162" name="Spalte141" queryTableFieldId="162" headerRowDxfId="1031" dataDxfId="1030" headerRowCellStyle="Standard" dataCellStyle="Standard"/>
    <tableColumn id="163" xr3:uid="{3AC06809-4F86-480D-99CC-A722999AF4D8}" uniqueName="163" name="Spalte142" queryTableFieldId="163" headerRowDxfId="1029" dataDxfId="1028" headerRowCellStyle="Standard" dataCellStyle="Standard"/>
    <tableColumn id="164" xr3:uid="{D15F2CB3-9E44-4A77-BA7C-A872CB1875FB}" uniqueName="164" name="Spalte143" queryTableFieldId="164" headerRowDxfId="1027" dataDxfId="1026" headerRowCellStyle="Standard" dataCellStyle="Standard"/>
    <tableColumn id="165" xr3:uid="{E5F7B6C9-13E6-424C-AB5A-E9D1D2C668B4}" uniqueName="165" name="Spalte144" queryTableFieldId="165" headerRowDxfId="1025" dataDxfId="1024" headerRowCellStyle="Standard" dataCellStyle="Standard"/>
    <tableColumn id="166" xr3:uid="{A4B91B3E-9F51-4D4E-B138-E36C61FE4316}" uniqueName="166" name="Spalte145" queryTableFieldId="166" headerRowDxfId="1023" dataDxfId="1022" headerRowCellStyle="Standard" dataCellStyle="Standard"/>
    <tableColumn id="167" xr3:uid="{357E9FD1-F037-41CA-A92F-6BACD1BA1D54}" uniqueName="167" name="Spalte146" queryTableFieldId="167" headerRowDxfId="1021" dataDxfId="1020" headerRowCellStyle="Standard" dataCellStyle="Standard"/>
    <tableColumn id="168" xr3:uid="{0D9C6C01-61EB-465F-801F-96AD5F00FCDC}" uniqueName="168" name="Spalte147" queryTableFieldId="168" headerRowDxfId="1019" dataDxfId="1018" headerRowCellStyle="Standard" dataCellStyle="Standard"/>
    <tableColumn id="169" xr3:uid="{C2EF80A3-E39F-48DB-970F-407FE3D5377A}" uniqueName="169" name="Spalte148" queryTableFieldId="169" headerRowDxfId="1017" dataDxfId="1016" headerRowCellStyle="Standard" dataCellStyle="Standard"/>
    <tableColumn id="170" xr3:uid="{4641E310-78B8-4F36-9B06-0B711E631DB1}" uniqueName="170" name="Spalte149" queryTableFieldId="170" headerRowDxfId="1015" dataDxfId="1014" headerRowCellStyle="Standard" dataCellStyle="Standard"/>
    <tableColumn id="171" xr3:uid="{C098B395-13F3-4C35-B203-1A948354946B}" uniqueName="171" name="Spalte150" queryTableFieldId="171" headerRowDxfId="1013" dataDxfId="1012" headerRowCellStyle="Standard" dataCellStyle="Standard"/>
    <tableColumn id="172" xr3:uid="{0F0FA771-31B4-44CD-B652-F8CD4DC0DF70}" uniqueName="172" name="Spalte151" queryTableFieldId="172" headerRowDxfId="1011" dataDxfId="1010" headerRowCellStyle="Standard" dataCellStyle="Standard"/>
    <tableColumn id="173" xr3:uid="{A677E824-B13C-43FF-9676-035D1A897164}" uniqueName="173" name="Spalte152" queryTableFieldId="173" headerRowDxfId="1009" dataDxfId="1008" headerRowCellStyle="Standard" dataCellStyle="Standard"/>
    <tableColumn id="174" xr3:uid="{5FD7C23C-727D-4029-A92D-26BF01CE8DC5}" uniqueName="174" name="Spalte153" queryTableFieldId="174" headerRowDxfId="1007" dataDxfId="1006" headerRowCellStyle="Standard" dataCellStyle="Standard"/>
    <tableColumn id="175" xr3:uid="{7830C959-4C72-49E5-8E4A-671F84642733}" uniqueName="175" name="Spalte154" queryTableFieldId="175" headerRowDxfId="1005" dataDxfId="1004" headerRowCellStyle="Standard" dataCellStyle="Standard"/>
    <tableColumn id="176" xr3:uid="{385BF336-6DD7-4253-B1F9-0AD074954B3C}" uniqueName="176" name="Spalte155" queryTableFieldId="176" headerRowDxfId="1003" dataDxfId="1002" headerRowCellStyle="Standard" dataCellStyle="Standard"/>
    <tableColumn id="177" xr3:uid="{599A942F-C873-4542-8B89-97214CBFC90D}" uniqueName="177" name="Spalte156" queryTableFieldId="177" headerRowDxfId="1001" dataDxfId="1000" headerRowCellStyle="Standard" dataCellStyle="Standard"/>
    <tableColumn id="178" xr3:uid="{6AB5E7BC-CF57-409F-8633-86C921DB6D91}" uniqueName="178" name="Spalte157" queryTableFieldId="178" headerRowDxfId="999" dataDxfId="998" headerRowCellStyle="Standard" dataCellStyle="Standard"/>
    <tableColumn id="179" xr3:uid="{C682FED7-B67D-48D5-893A-EADEAFA57176}" uniqueName="179" name="Spalte158" queryTableFieldId="179" headerRowDxfId="997" dataDxfId="996" headerRowCellStyle="Standard" dataCellStyle="Standard"/>
    <tableColumn id="180" xr3:uid="{12E491B1-81BB-479F-8A80-DD3C8FB6C805}" uniqueName="180" name="Spalte159" queryTableFieldId="180" headerRowDxfId="995" dataDxfId="994" headerRowCellStyle="Standard" dataCellStyle="Standard"/>
    <tableColumn id="181" xr3:uid="{1F8BA335-CBD0-407D-BA68-1A6C2D4C98DF}" uniqueName="181" name="Spalte160" queryTableFieldId="181" headerRowDxfId="993" dataDxfId="992" headerRowCellStyle="Standard" dataCellStyle="Standard"/>
    <tableColumn id="182" xr3:uid="{6842DC46-95CA-467C-8132-881AAE7A286B}" uniqueName="182" name="Spalte161" queryTableFieldId="182" headerRowDxfId="991" dataDxfId="990" headerRowCellStyle="Standard" dataCellStyle="Standard"/>
    <tableColumn id="183" xr3:uid="{D1F134A1-86C1-49FC-A075-5FD2F76D62A0}" uniqueName="183" name="Spalte162" queryTableFieldId="183" headerRowDxfId="989" dataDxfId="988" headerRowCellStyle="Standard" dataCellStyle="Standard"/>
    <tableColumn id="184" xr3:uid="{C5350E84-4FAD-4F9C-89EC-822E3716F0EE}" uniqueName="184" name="Spalte163" queryTableFieldId="184" headerRowDxfId="987" dataDxfId="986" headerRowCellStyle="Standard" dataCellStyle="Standard"/>
    <tableColumn id="185" xr3:uid="{B6FBD967-8FAA-4AE8-AB52-EEF7D893F071}" uniqueName="185" name="Spalte164" queryTableFieldId="185" headerRowDxfId="985" dataDxfId="984" headerRowCellStyle="Standard" dataCellStyle="Standard"/>
    <tableColumn id="186" xr3:uid="{ADA19120-F08E-4BD3-A351-CEAF7012567B}" uniqueName="186" name="Spalte165" queryTableFieldId="186" headerRowDxfId="983" dataDxfId="982" headerRowCellStyle="Standard" dataCellStyle="Standard"/>
    <tableColumn id="187" xr3:uid="{D09FC548-1ADA-4128-B01E-9B2CA0EB1941}" uniqueName="187" name="Spalte166" queryTableFieldId="187" headerRowDxfId="981" dataDxfId="980" headerRowCellStyle="Standard" dataCellStyle="Standard"/>
    <tableColumn id="188" xr3:uid="{DF6A6FEF-BAB3-4346-8CF9-5977EB4DF0BA}" uniqueName="188" name="Spalte167" queryTableFieldId="188" headerRowDxfId="979" dataDxfId="978" headerRowCellStyle="Standard" dataCellStyle="Standard"/>
    <tableColumn id="189" xr3:uid="{04D38E0E-E49C-4809-806D-EA4650DBA978}" uniqueName="189" name="Spalte168" queryTableFieldId="189" headerRowDxfId="977" dataDxfId="976" headerRowCellStyle="Standard" dataCellStyle="Standard"/>
    <tableColumn id="190" xr3:uid="{2DEE47CC-DD21-4A22-A6E3-21155C198119}" uniqueName="190" name="Spalte169" queryTableFieldId="190" headerRowDxfId="975" dataDxfId="974" headerRowCellStyle="Standard" dataCellStyle="Standard"/>
    <tableColumn id="191" xr3:uid="{CBD10B6A-58BC-4CD8-B579-FD46F2BA8639}" uniqueName="191" name="Spalte170" queryTableFieldId="191" headerRowDxfId="973" dataDxfId="972" headerRowCellStyle="Standard" dataCellStyle="Standard"/>
    <tableColumn id="192" xr3:uid="{D1D7C4BA-1114-40D1-8DDB-BB081DB696DF}" uniqueName="192" name="Spalte171" queryTableFieldId="192" headerRowDxfId="971" dataDxfId="970" headerRowCellStyle="Standard" dataCellStyle="Standard"/>
    <tableColumn id="193" xr3:uid="{203C97F2-E237-42C9-8D31-660692525D4F}" uniqueName="193" name="Spalte172" queryTableFieldId="193" headerRowDxfId="969" dataDxfId="968" headerRowCellStyle="Standard" dataCellStyle="Standard"/>
    <tableColumn id="194" xr3:uid="{B546105B-343A-4D8C-ADBF-FE3CCE24773F}" uniqueName="194" name="Spalte173" queryTableFieldId="194" headerRowDxfId="967" dataDxfId="966" headerRowCellStyle="Standard" dataCellStyle="Standard"/>
    <tableColumn id="195" xr3:uid="{141069CA-85FE-449D-9187-C142D8995537}" uniqueName="195" name="Spalte174" queryTableFieldId="195" headerRowDxfId="965" dataDxfId="964" headerRowCellStyle="Standard" dataCellStyle="Standard"/>
    <tableColumn id="196" xr3:uid="{E58A1412-B6D2-4943-83F2-9F60B3A0DEAA}" uniqueName="196" name="Spalte175" queryTableFieldId="196" headerRowDxfId="963" dataDxfId="962" headerRowCellStyle="Standard" dataCellStyle="Standard"/>
    <tableColumn id="197" xr3:uid="{69410039-5226-46AB-AAAA-CDA3FA7C83B7}" uniqueName="197" name="Spalte176" queryTableFieldId="197" headerRowDxfId="961" dataDxfId="960" headerRowCellStyle="Standard" dataCellStyle="Standard"/>
    <tableColumn id="198" xr3:uid="{97EEF8D2-2E11-4A49-B203-81E01DC31839}" uniqueName="198" name="Spalte177" queryTableFieldId="198" headerRowDxfId="959" dataDxfId="958" headerRowCellStyle="Standard" dataCellStyle="Standard"/>
    <tableColumn id="199" xr3:uid="{0BE444F3-697D-4B97-88C9-0D2C2FA18A50}" uniqueName="199" name="Spalte178" queryTableFieldId="199" headerRowDxfId="957" dataDxfId="956" headerRowCellStyle="Standard" dataCellStyle="Standard"/>
    <tableColumn id="200" xr3:uid="{17FF0AD0-16E3-43E6-816C-F47EEB0118D1}" uniqueName="200" name="Spalte179" queryTableFieldId="200" headerRowDxfId="955" dataDxfId="954" headerRowCellStyle="Standard" dataCellStyle="Standard"/>
    <tableColumn id="201" xr3:uid="{43EE0699-1199-4EBE-97CE-6B060DBB50DA}" uniqueName="201" name="Spalte180" queryTableFieldId="201" headerRowDxfId="953" dataDxfId="952" headerRowCellStyle="Standard" dataCellStyle="Standard"/>
    <tableColumn id="202" xr3:uid="{806A7E0C-AF3C-484A-809D-3D16D37A7C1A}" uniqueName="202" name="Spalte181" queryTableFieldId="202" headerRowDxfId="951" dataDxfId="950" headerRowCellStyle="Standard" dataCellStyle="Standard"/>
    <tableColumn id="203" xr3:uid="{D9232CD9-D1E5-44FD-BE58-C1A8F1340A1A}" uniqueName="203" name="Spalte182" queryTableFieldId="203" headerRowDxfId="949" dataDxfId="948" headerRowCellStyle="Standard" dataCellStyle="Standard"/>
    <tableColumn id="204" xr3:uid="{70F9B3C5-2A21-4647-B2CD-7125C780DC4A}" uniqueName="204" name="Spalte183" queryTableFieldId="204" headerRowDxfId="947" dataDxfId="946" headerRowCellStyle="Standard" dataCellStyle="Standard"/>
    <tableColumn id="205" xr3:uid="{D2B0F378-5684-48B8-A7F9-8D62E5332653}" uniqueName="205" name="Spalte184" queryTableFieldId="205" headerRowDxfId="945" dataDxfId="944" headerRowCellStyle="Standard" dataCellStyle="Standard"/>
    <tableColumn id="206" xr3:uid="{9BB670A7-A127-4368-902E-3CC61C5433A8}" uniqueName="206" name="Spalte185" queryTableFieldId="206" headerRowDxfId="943" dataDxfId="942" headerRowCellStyle="Standard" dataCellStyle="Standard"/>
    <tableColumn id="207" xr3:uid="{CFCEFE4C-E25E-42CD-9012-8C5D0E55D62E}" uniqueName="207" name="Spalte186" queryTableFieldId="207" headerRowDxfId="941" dataDxfId="940" headerRowCellStyle="Standard" dataCellStyle="Standard"/>
    <tableColumn id="208" xr3:uid="{B129BBB8-4C4A-49A7-8F4C-5ABFE17C53D2}" uniqueName="208" name="Spalte187" queryTableFieldId="208" headerRowDxfId="939" dataDxfId="938" headerRowCellStyle="Standard" dataCellStyle="Standard"/>
    <tableColumn id="209" xr3:uid="{FA46E363-8F37-4177-B1E4-7E4A4D3E3C6A}" uniqueName="209" name="Spalte188" queryTableFieldId="209" headerRowDxfId="937" dataDxfId="936" headerRowCellStyle="Standard" dataCellStyle="Standard"/>
    <tableColumn id="210" xr3:uid="{6BF50163-2574-4FCE-A4C1-3313227A0657}" uniqueName="210" name="Spalte189" queryTableFieldId="210" headerRowDxfId="935" dataDxfId="934" headerRowCellStyle="Standard" dataCellStyle="Standard"/>
    <tableColumn id="211" xr3:uid="{5C5F2F27-364C-44FD-B89B-1DE3D33AF1CA}" uniqueName="211" name="Spalte190" queryTableFieldId="211" headerRowDxfId="933" dataDxfId="932" headerRowCellStyle="Standard" dataCellStyle="Standard"/>
    <tableColumn id="212" xr3:uid="{60C6FF5F-E829-46B0-AF92-1D7A8EAAC6E7}" uniqueName="212" name="Spalte191" queryTableFieldId="212" headerRowDxfId="931" dataDxfId="930" headerRowCellStyle="Standard" dataCellStyle="Standard"/>
    <tableColumn id="213" xr3:uid="{13FBBC43-45EB-4F2D-A228-D342D4023FC8}" uniqueName="213" name="Spalte192" queryTableFieldId="213" headerRowDxfId="929" dataDxfId="928" headerRowCellStyle="Standard" dataCellStyle="Standard"/>
    <tableColumn id="214" xr3:uid="{EA5441EF-C167-474E-A4BE-1A358729EAB5}" uniqueName="214" name="Spalte193" queryTableFieldId="214" headerRowDxfId="927" dataDxfId="926" headerRowCellStyle="Standard" dataCellStyle="Standard"/>
    <tableColumn id="215" xr3:uid="{D22869A5-A0FD-4C47-A38A-FFE127CC9308}" uniqueName="215" name="Spalte194" queryTableFieldId="215" headerRowDxfId="925" dataDxfId="924" headerRowCellStyle="Standard" dataCellStyle="Standard"/>
    <tableColumn id="216" xr3:uid="{078C5B0D-5F33-405F-AF1B-DDDDF2A2DBA0}" uniqueName="216" name="Spalte195" queryTableFieldId="216" headerRowDxfId="923" dataDxfId="922" headerRowCellStyle="Standard" dataCellStyle="Standard"/>
    <tableColumn id="217" xr3:uid="{207E6CFD-04C1-4882-8A59-21C774C71828}" uniqueName="217" name="Spalte196" queryTableFieldId="217" headerRowDxfId="921" dataDxfId="920" headerRowCellStyle="Standard" dataCellStyle="Standard"/>
    <tableColumn id="218" xr3:uid="{6662EB14-0C31-4159-B9F9-054E4539D028}" uniqueName="218" name="Spalte197" queryTableFieldId="218" headerRowDxfId="919" dataDxfId="918" headerRowCellStyle="Standard" dataCellStyle="Standard"/>
    <tableColumn id="219" xr3:uid="{566E528B-EFE6-46E4-B633-98226A73A9AA}" uniqueName="219" name="Spalte198" queryTableFieldId="219" headerRowDxfId="917" dataDxfId="916" headerRowCellStyle="Standard" dataCellStyle="Standard"/>
    <tableColumn id="220" xr3:uid="{9B0B7D56-632E-4A55-8044-9FBAE83D4628}" uniqueName="220" name="Spalte199" queryTableFieldId="220" headerRowDxfId="915" dataDxfId="914" headerRowCellStyle="Standard" dataCellStyle="Standard"/>
    <tableColumn id="221" xr3:uid="{C7F34400-F3F5-4BEE-A89E-B61619AE7E3A}" uniqueName="221" name="Spalte200" queryTableFieldId="221" headerRowDxfId="913" dataDxfId="912" headerRowCellStyle="Standard" dataCellStyle="Standard"/>
    <tableColumn id="222" xr3:uid="{9984D77B-AE68-49D3-9FD1-33E82F03220C}" uniqueName="222" name="Spalte201" queryTableFieldId="222" headerRowDxfId="911" dataDxfId="910" headerRowCellStyle="Standard" dataCellStyle="Standard"/>
    <tableColumn id="223" xr3:uid="{B5444E14-FE6D-4B5A-A2BC-324626EC6A46}" uniqueName="223" name="Spalte202" queryTableFieldId="223" headerRowDxfId="909" dataDxfId="908" headerRowCellStyle="Standard" dataCellStyle="Standard"/>
    <tableColumn id="224" xr3:uid="{D62A8386-57A0-4436-9651-7B36523DAA8B}" uniqueName="224" name="Spalte203" queryTableFieldId="224" headerRowDxfId="907" dataDxfId="906" headerRowCellStyle="Standard" dataCellStyle="Standard"/>
    <tableColumn id="225" xr3:uid="{1D14E08F-C66D-42F0-8351-4568144CF5EC}" uniqueName="225" name="Spalte204" queryTableFieldId="225" headerRowDxfId="905" dataDxfId="904" headerRowCellStyle="Standard" dataCellStyle="Standard"/>
    <tableColumn id="226" xr3:uid="{99366A8F-1534-4773-872C-39669EC8CFEA}" uniqueName="226" name="Spalte205" queryTableFieldId="226" headerRowDxfId="903" dataDxfId="902" headerRowCellStyle="Standard" dataCellStyle="Standard"/>
    <tableColumn id="227" xr3:uid="{DFE8E4D9-1E5F-4FE2-B64F-001E95FE043A}" uniqueName="227" name="Spalte206" queryTableFieldId="227" headerRowDxfId="901" dataDxfId="900" headerRowCellStyle="Standard" dataCellStyle="Standard"/>
    <tableColumn id="228" xr3:uid="{51EE5FF0-63E9-44C8-A3E7-723751648049}" uniqueName="228" name="Spalte207" queryTableFieldId="228" headerRowDxfId="899" dataDxfId="898" headerRowCellStyle="Standard" dataCellStyle="Standard"/>
    <tableColumn id="229" xr3:uid="{71829FC4-C808-411E-9907-D11D3292A518}" uniqueName="229" name="Spalte208" queryTableFieldId="229" headerRowDxfId="897" dataDxfId="896" headerRowCellStyle="Standard" dataCellStyle="Standard"/>
    <tableColumn id="230" xr3:uid="{52239B34-57DB-4ED4-92D7-73CB68943797}" uniqueName="230" name="Spalte209" queryTableFieldId="230" headerRowDxfId="895" dataDxfId="894" headerRowCellStyle="Standard" dataCellStyle="Standard"/>
    <tableColumn id="231" xr3:uid="{21D1F7DD-C3C5-4EEA-A280-FC4A1FCC4E0C}" uniqueName="231" name="Spalte210" queryTableFieldId="231" headerRowDxfId="893" dataDxfId="892" headerRowCellStyle="Standard" dataCellStyle="Standard"/>
    <tableColumn id="232" xr3:uid="{ABEECAB8-A00C-47C3-9326-E5EEE13AE119}" uniqueName="232" name="Spalte211" queryTableFieldId="232" headerRowDxfId="891" dataDxfId="890" headerRowCellStyle="Standard" dataCellStyle="Standard"/>
    <tableColumn id="233" xr3:uid="{9A123BFD-EAEF-4147-BBAE-11B7E6278A4F}" uniqueName="233" name="Spalte212" queryTableFieldId="233" headerRowDxfId="889" dataDxfId="888" headerRowCellStyle="Standard" dataCellStyle="Standard"/>
    <tableColumn id="234" xr3:uid="{EBAACA08-5E87-4864-B24E-A8A160398CA6}" uniqueName="234" name="Spalte213" queryTableFieldId="234" headerRowDxfId="887" dataDxfId="886" headerRowCellStyle="Standard" dataCellStyle="Standard"/>
    <tableColumn id="235" xr3:uid="{56AEB62B-6E77-4960-BFF1-1516673C2A3B}" uniqueName="235" name="Spalte214" queryTableFieldId="235" headerRowDxfId="885" dataDxfId="884" headerRowCellStyle="Standard" dataCellStyle="Standard"/>
    <tableColumn id="236" xr3:uid="{2DDF856B-9020-47AA-8259-56C65B809A39}" uniqueName="236" name="Spalte215" queryTableFieldId="236" headerRowDxfId="883" dataDxfId="882" headerRowCellStyle="Standard" dataCellStyle="Standard"/>
    <tableColumn id="237" xr3:uid="{5973000A-2E09-49F9-8A4B-179613AFE0A8}" uniqueName="237" name="Spalte216" queryTableFieldId="237" headerRowDxfId="881" dataDxfId="880" headerRowCellStyle="Standard" dataCellStyle="Standard"/>
    <tableColumn id="238" xr3:uid="{E57A4AF7-7298-4056-AF87-DB57691DB19B}" uniqueName="238" name="Spalte217" queryTableFieldId="238" headerRowDxfId="879" dataDxfId="878" headerRowCellStyle="Standard" dataCellStyle="Standard"/>
    <tableColumn id="239" xr3:uid="{2B81FA2C-7EA0-4AE0-827E-CDDC45434975}" uniqueName="239" name="Spalte218" queryTableFieldId="239" headerRowDxfId="877" dataDxfId="876" headerRowCellStyle="Standard" dataCellStyle="Standard"/>
    <tableColumn id="240" xr3:uid="{BC759EB1-A762-4CFD-B1E2-310BDA8F422B}" uniqueName="240" name="Spalte219" queryTableFieldId="240" headerRowDxfId="875" dataDxfId="874" headerRowCellStyle="Standard" dataCellStyle="Standard"/>
    <tableColumn id="241" xr3:uid="{FA6E2D16-8D26-4C37-9373-E3166BE6E43B}" uniqueName="241" name="Spalte220" queryTableFieldId="241" headerRowDxfId="873" dataDxfId="872" headerRowCellStyle="Standard" dataCellStyle="Standard"/>
    <tableColumn id="242" xr3:uid="{ED36F7BB-0C76-403E-B87F-595174BDA7EB}" uniqueName="242" name="Spalte221" queryTableFieldId="242" headerRowDxfId="871" dataDxfId="870" headerRowCellStyle="Standard" dataCellStyle="Standard"/>
    <tableColumn id="243" xr3:uid="{88DFAAAE-3CC6-4D8D-9C58-9088B9D9D91A}" uniqueName="243" name="Spalte222" queryTableFieldId="243" headerRowDxfId="869" dataDxfId="868" headerRowCellStyle="Standard" dataCellStyle="Standard"/>
    <tableColumn id="244" xr3:uid="{41122EB2-2278-45D4-A40A-1ED7699013A5}" uniqueName="244" name="Spalte223" queryTableFieldId="244" headerRowDxfId="867" dataDxfId="866" headerRowCellStyle="Standard" dataCellStyle="Standard"/>
    <tableColumn id="245" xr3:uid="{61A26376-2402-4CB6-B911-1564C0081068}" uniqueName="245" name="Spalte224" queryTableFieldId="245" headerRowDxfId="865" dataDxfId="864" headerRowCellStyle="Standard" dataCellStyle="Standard"/>
    <tableColumn id="246" xr3:uid="{03E5D3E2-6701-4DC5-B5E7-8981663FA9D6}" uniqueName="246" name="Spalte225" queryTableFieldId="246" headerRowDxfId="863" dataDxfId="862" headerRowCellStyle="Standard" dataCellStyle="Standard"/>
    <tableColumn id="247" xr3:uid="{3BF63148-075A-439A-A3FA-192FEA3DDC27}" uniqueName="247" name="Spalte226" queryTableFieldId="247" headerRowDxfId="861" dataDxfId="860" headerRowCellStyle="Standard" dataCellStyle="Standard"/>
    <tableColumn id="248" xr3:uid="{131383B9-869F-44FA-A636-B5397C8EEAAC}" uniqueName="248" name="Spalte227" queryTableFieldId="248" headerRowDxfId="859" dataDxfId="858" headerRowCellStyle="Standard" dataCellStyle="Standard"/>
    <tableColumn id="249" xr3:uid="{276B65F8-9845-4D65-AB37-30FC3276A7F3}" uniqueName="249" name="Spalte228" queryTableFieldId="249" headerRowDxfId="857" dataDxfId="856" headerRowCellStyle="Standard" dataCellStyle="Standard"/>
    <tableColumn id="250" xr3:uid="{5139C537-F313-40D9-AF91-BEA79BE3CA4B}" uniqueName="250" name="Spalte229" queryTableFieldId="250" headerRowDxfId="855" dataDxfId="854" headerRowCellStyle="Standard" dataCellStyle="Standard"/>
    <tableColumn id="251" xr3:uid="{74593E3F-D149-4D61-99F3-49A8777E9BB9}" uniqueName="251" name="Spalte230" queryTableFieldId="251" headerRowDxfId="853" dataDxfId="852" headerRowCellStyle="Standard" dataCellStyle="Standard"/>
    <tableColumn id="252" xr3:uid="{20EA50FC-05AA-43EB-A4B0-024BAAA2DB24}" uniqueName="252" name="Spalte231" queryTableFieldId="252" headerRowDxfId="851" dataDxfId="850" headerRowCellStyle="Standard" dataCellStyle="Standard"/>
    <tableColumn id="253" xr3:uid="{F38ADB17-ACA5-40DD-BBD6-3D8691E1E28E}" uniqueName="253" name="Spalte232" queryTableFieldId="253" headerRowDxfId="849" dataDxfId="848" headerRowCellStyle="Standard" dataCellStyle="Standard"/>
    <tableColumn id="254" xr3:uid="{C70D5DF3-1C92-4634-AD23-C7E0B680E65A}" uniqueName="254" name="Spalte233" queryTableFieldId="254" headerRowDxfId="847" dataDxfId="846" headerRowCellStyle="Standard" dataCellStyle="Standard"/>
    <tableColumn id="255" xr3:uid="{5DF2DDD4-2254-4FC6-B4B5-C1A2B06E927B}" uniqueName="255" name="Spalte234" queryTableFieldId="255" headerRowDxfId="845" dataDxfId="844" headerRowCellStyle="Standard" dataCellStyle="Standard"/>
    <tableColumn id="256" xr3:uid="{CC17E44E-A58A-4DDA-9049-AA1615CBC5CD}" uniqueName="256" name="Spalte235" queryTableFieldId="256" headerRowDxfId="843" dataDxfId="842" headerRowCellStyle="Standard" dataCellStyle="Standard"/>
    <tableColumn id="257" xr3:uid="{37D07F8F-418D-4310-9821-BAEB9BA58E74}" uniqueName="257" name="Spalte236" queryTableFieldId="257" headerRowDxfId="841" dataDxfId="840" headerRowCellStyle="Standard" dataCellStyle="Standard"/>
    <tableColumn id="258" xr3:uid="{79AD8A83-67FB-44FB-AF88-8280A15FC6F5}" uniqueName="258" name="Spalte237" queryTableFieldId="258" headerRowDxfId="839" dataDxfId="838" headerRowCellStyle="Standard" dataCellStyle="Standard"/>
    <tableColumn id="259" xr3:uid="{4433C2BC-ACAF-40FA-81C3-E5583AA0288B}" uniqueName="259" name="Spalte238" queryTableFieldId="259" headerRowDxfId="837" dataDxfId="836" headerRowCellStyle="Standard" dataCellStyle="Standard"/>
    <tableColumn id="260" xr3:uid="{95284D89-56D0-4F0C-8588-B614698C4F0A}" uniqueName="260" name="Spalte239" queryTableFieldId="260" headerRowDxfId="835" dataDxfId="834" headerRowCellStyle="Standard" dataCellStyle="Standard"/>
    <tableColumn id="261" xr3:uid="{A3F37582-A423-4861-97FB-A564FF2F1D0F}" uniqueName="261" name="Spalte240" queryTableFieldId="261" headerRowDxfId="833" dataDxfId="832" headerRowCellStyle="Standard" dataCellStyle="Standard"/>
    <tableColumn id="262" xr3:uid="{A333B58F-D0AA-4C9E-BF48-02A56D0B5BAF}" uniqueName="262" name="Spalte241" queryTableFieldId="262" headerRowDxfId="831" dataDxfId="830" headerRowCellStyle="Standard" dataCellStyle="Standard"/>
    <tableColumn id="263" xr3:uid="{F38FEBA3-6DB5-4C31-B8EC-0E3616564E44}" uniqueName="263" name="Spalte242" queryTableFieldId="263" headerRowDxfId="829" dataDxfId="828" headerRowCellStyle="Standard" dataCellStyle="Standard"/>
    <tableColumn id="264" xr3:uid="{699A137B-0DEB-4CC2-B7AE-7C92352CADB1}" uniqueName="264" name="Spalte243" queryTableFieldId="264" headerRowDxfId="827" dataDxfId="826" headerRowCellStyle="Standard" dataCellStyle="Standard"/>
    <tableColumn id="265" xr3:uid="{2248D24D-7F97-4902-B4B4-AF03F23BC41F}" uniqueName="265" name="Spalte244" queryTableFieldId="265" headerRowDxfId="825" dataDxfId="824" headerRowCellStyle="Standard" dataCellStyle="Standard"/>
    <tableColumn id="266" xr3:uid="{7FE3090D-76F0-4E1D-A51F-BFF1BA36BB85}" uniqueName="266" name="Spalte245" queryTableFieldId="266" headerRowDxfId="823" dataDxfId="822" headerRowCellStyle="Standard" dataCellStyle="Standard"/>
    <tableColumn id="267" xr3:uid="{8CE9D754-6414-439C-A6B4-1F3035942592}" uniqueName="267" name="Spalte246" queryTableFieldId="267" headerRowDxfId="821" dataDxfId="820" headerRowCellStyle="Standard" dataCellStyle="Standard"/>
    <tableColumn id="268" xr3:uid="{7D281775-4AF6-49DA-84CB-589AB3CEC1CF}" uniqueName="268" name="Spalte247" queryTableFieldId="268" headerRowDxfId="819" dataDxfId="818" headerRowCellStyle="Standard" dataCellStyle="Standard"/>
    <tableColumn id="269" xr3:uid="{56007674-7F98-4601-8675-F7C56D3F922E}" uniqueName="269" name="Spalte248" queryTableFieldId="269" headerRowDxfId="817" dataDxfId="816" headerRowCellStyle="Standard" dataCellStyle="Standard"/>
    <tableColumn id="270" xr3:uid="{0164344D-15A3-4FE0-A5F2-D126E5F258AA}" uniqueName="270" name="Spalte249" queryTableFieldId="270" headerRowDxfId="815" dataDxfId="814" headerRowCellStyle="Standard" dataCellStyle="Standard"/>
    <tableColumn id="271" xr3:uid="{D3917B5B-5684-44EB-8434-1DBE1E341A9C}" uniqueName="271" name="Spalte250" queryTableFieldId="271" headerRowDxfId="813" dataDxfId="812" headerRowCellStyle="Standard" dataCellStyle="Standard"/>
    <tableColumn id="272" xr3:uid="{40311F38-4639-4EA6-97E2-2F9466C7E8FA}" uniqueName="272" name="Spalte251" queryTableFieldId="272" headerRowDxfId="811" dataDxfId="810" headerRowCellStyle="Standard" dataCellStyle="Standard"/>
    <tableColumn id="273" xr3:uid="{B519D436-270C-4C1E-91C8-E92C31337460}" uniqueName="273" name="Spalte252" queryTableFieldId="273" headerRowDxfId="809" dataDxfId="808" headerRowCellStyle="Standard" dataCellStyle="Standard"/>
    <tableColumn id="274" xr3:uid="{42E570DB-F1D3-4DED-AF0D-79FC64A9F431}" uniqueName="274" name="Spalte253" queryTableFieldId="274" headerRowDxfId="807" dataDxfId="806" headerRowCellStyle="Standard" dataCellStyle="Standard"/>
    <tableColumn id="275" xr3:uid="{7FE2F865-DEA4-4A3F-A92F-7C8B3F7D5C75}" uniqueName="275" name="Spalte254" queryTableFieldId="275" headerRowDxfId="805" dataDxfId="804" headerRowCellStyle="Standard" dataCellStyle="Standard"/>
    <tableColumn id="276" xr3:uid="{F3791CC1-1332-4679-95D7-4D09B22D0ECD}" uniqueName="276" name="Spalte255" queryTableFieldId="276" headerRowDxfId="803" dataDxfId="802" headerRowCellStyle="Standard" dataCellStyle="Standard"/>
    <tableColumn id="277" xr3:uid="{CA107E10-2D45-4D4B-A79A-F032C18A08E4}" uniqueName="277" name="Spalte256" queryTableFieldId="277" headerRowDxfId="801" dataDxfId="800" headerRowCellStyle="Standard" dataCellStyle="Standard"/>
    <tableColumn id="278" xr3:uid="{013343D6-613B-4C8C-8C95-412398487731}" uniqueName="278" name="Spalte257" queryTableFieldId="278" headerRowDxfId="799" dataDxfId="798" headerRowCellStyle="Standard" dataCellStyle="Standard"/>
    <tableColumn id="279" xr3:uid="{6F224794-9C6A-4276-8524-147EE8D47D99}" uniqueName="279" name="Spalte258" queryTableFieldId="279" headerRowDxfId="797" dataDxfId="796" headerRowCellStyle="Standard" dataCellStyle="Standard"/>
    <tableColumn id="280" xr3:uid="{B7972395-FCFA-4045-B66F-B770A4FF4676}" uniqueName="280" name="Spalte259" queryTableFieldId="280" headerRowDxfId="795" dataDxfId="794" headerRowCellStyle="Standard" dataCellStyle="Standard"/>
    <tableColumn id="281" xr3:uid="{FBDA15DD-A1AC-4FBF-AEC7-C053B513A7AE}" uniqueName="281" name="Spalte260" queryTableFieldId="281" headerRowDxfId="793" dataDxfId="792" headerRowCellStyle="Standard" dataCellStyle="Standard"/>
    <tableColumn id="282" xr3:uid="{46D65D74-8B46-4D07-97A6-1F0EFF56101E}" uniqueName="282" name="Spalte261" queryTableFieldId="282" headerRowDxfId="791" dataDxfId="790" headerRowCellStyle="Standard" dataCellStyle="Standard"/>
    <tableColumn id="283" xr3:uid="{DAC524A3-8542-4FFE-B127-F92778B73A15}" uniqueName="283" name="Spalte262" queryTableFieldId="283" headerRowDxfId="789" dataDxfId="788" headerRowCellStyle="Standard" dataCellStyle="Standard"/>
    <tableColumn id="284" xr3:uid="{DD4B4D2E-4E6F-4553-8A40-B8D7342D8E9C}" uniqueName="284" name="Spalte263" queryTableFieldId="284" headerRowDxfId="787" dataDxfId="786" headerRowCellStyle="Standard" dataCellStyle="Standard"/>
    <tableColumn id="285" xr3:uid="{958227E4-09CC-4EAD-8563-80558B0E10DF}" uniqueName="285" name="Spalte264" queryTableFieldId="285" headerRowDxfId="785" dataDxfId="784" headerRowCellStyle="Standard" dataCellStyle="Standard"/>
    <tableColumn id="286" xr3:uid="{D3EB4492-DF0F-4C10-90C7-7ADAB2D2F95D}" uniqueName="286" name="Spalte265" queryTableFieldId="286" headerRowDxfId="783" dataDxfId="782" headerRowCellStyle="Standard" dataCellStyle="Standard"/>
    <tableColumn id="287" xr3:uid="{7627157C-5A65-4DC2-BAD5-2A08BCAB2768}" uniqueName="287" name="Spalte266" queryTableFieldId="287" headerRowDxfId="781" dataDxfId="780" headerRowCellStyle="Standard" dataCellStyle="Standard"/>
    <tableColumn id="288" xr3:uid="{109FAC5F-3F23-4890-8C33-19D13385E5BA}" uniqueName="288" name="Spalte267" queryTableFieldId="288" headerRowDxfId="779" dataDxfId="778" headerRowCellStyle="Standard" dataCellStyle="Standard"/>
    <tableColumn id="289" xr3:uid="{DE3C208C-A75A-4C1F-A438-C5631E76114C}" uniqueName="289" name="Spalte268" queryTableFieldId="289" headerRowDxfId="777" dataDxfId="776" headerRowCellStyle="Standard" dataCellStyle="Standard"/>
    <tableColumn id="290" xr3:uid="{8C397C79-952F-4172-99AA-FF5E810931D5}" uniqueName="290" name="Spalte269" queryTableFieldId="290" headerRowDxfId="775" dataDxfId="774" headerRowCellStyle="Standard" dataCellStyle="Standard"/>
    <tableColumn id="291" xr3:uid="{EA5BDAEC-55D5-45C2-9B9E-C56484AAB6ED}" uniqueName="291" name="Spalte270" queryTableFieldId="291" headerRowDxfId="773" dataDxfId="772" headerRowCellStyle="Standard" dataCellStyle="Standard"/>
    <tableColumn id="292" xr3:uid="{BA6AFE74-FF69-41AD-A27D-CA9E569ED417}" uniqueName="292" name="Spalte271" queryTableFieldId="292" headerRowDxfId="771" dataDxfId="770" headerRowCellStyle="Standard" dataCellStyle="Standard"/>
    <tableColumn id="293" xr3:uid="{08B5FE6D-9942-4AFF-8430-BA7D15918FB2}" uniqueName="293" name="Spalte272" queryTableFieldId="293" headerRowDxfId="769" dataDxfId="768" headerRowCellStyle="Standard" dataCellStyle="Standard"/>
    <tableColumn id="294" xr3:uid="{1143B815-24FC-4D55-95DD-03D7C598AE6B}" uniqueName="294" name="Spalte273" queryTableFieldId="294" headerRowDxfId="767" dataDxfId="766" headerRowCellStyle="Standard" dataCellStyle="Standard"/>
    <tableColumn id="295" xr3:uid="{F61B9F13-759A-49ED-9E63-C4E50787FCB9}" uniqueName="295" name="Spalte274" queryTableFieldId="295" headerRowDxfId="765" dataDxfId="764" headerRowCellStyle="Standard" dataCellStyle="Standard"/>
    <tableColumn id="296" xr3:uid="{9B91CC6A-AAA5-4E5B-BE3A-E43FADB80DE1}" uniqueName="296" name="Spalte275" queryTableFieldId="296" headerRowDxfId="763" dataDxfId="762" headerRowCellStyle="Standard" dataCellStyle="Standard"/>
    <tableColumn id="297" xr3:uid="{0D1D4509-E77B-4E61-AF3B-9D1222950381}" uniqueName="297" name="Spalte276" queryTableFieldId="297" headerRowDxfId="761" dataDxfId="760" headerRowCellStyle="Standard" dataCellStyle="Standard"/>
    <tableColumn id="298" xr3:uid="{AF574114-2B5A-40BD-A15E-4DB6AE516876}" uniqueName="298" name="Spalte277" queryTableFieldId="298" headerRowDxfId="759" dataDxfId="758" headerRowCellStyle="Standard" dataCellStyle="Standard"/>
    <tableColumn id="299" xr3:uid="{01B93A0A-99A1-4998-B87D-6950DD4B9108}" uniqueName="299" name="Spalte278" queryTableFieldId="299" headerRowDxfId="757" dataDxfId="756" headerRowCellStyle="Standard" dataCellStyle="Standard"/>
    <tableColumn id="300" xr3:uid="{E1F2B3B5-5C0F-4C68-870B-E3CE07E6C1E1}" uniqueName="300" name="Spalte279" queryTableFieldId="300" headerRowDxfId="755" dataDxfId="754" headerRowCellStyle="Standard" dataCellStyle="Standard"/>
    <tableColumn id="301" xr3:uid="{2588793F-BF80-4C3A-AD5E-FB3992A9FE15}" uniqueName="301" name="Spalte280" queryTableFieldId="301" headerRowDxfId="753" dataDxfId="752" headerRowCellStyle="Standard" dataCellStyle="Standard"/>
    <tableColumn id="302" xr3:uid="{C65AAA89-2EE7-46D6-9EC4-2E508FFC15CA}" uniqueName="302" name="Spalte281" queryTableFieldId="302" headerRowDxfId="751" dataDxfId="750" headerRowCellStyle="Standard" dataCellStyle="Standard"/>
    <tableColumn id="303" xr3:uid="{668B4189-D3AB-44DD-8529-43E597FBAB81}" uniqueName="303" name="Spalte282" queryTableFieldId="303" headerRowDxfId="749" dataDxfId="748" headerRowCellStyle="Standard" dataCellStyle="Standard"/>
    <tableColumn id="304" xr3:uid="{ADC289A4-01B9-4FE3-95C2-93F1ACFF294F}" uniqueName="304" name="Spalte283" queryTableFieldId="304" headerRowDxfId="747" dataDxfId="746" headerRowCellStyle="Standard" dataCellStyle="Standard"/>
    <tableColumn id="305" xr3:uid="{8795A14B-A181-4C3B-ACFE-A192B21C839F}" uniqueName="305" name="Spalte284" queryTableFieldId="305" headerRowDxfId="745" dataDxfId="744" headerRowCellStyle="Standard" dataCellStyle="Standard"/>
    <tableColumn id="306" xr3:uid="{250EA571-F37F-47FA-8EA7-158C6F479D11}" uniqueName="306" name="Spalte285" queryTableFieldId="306" headerRowDxfId="743" dataDxfId="742" headerRowCellStyle="Standard" dataCellStyle="Standard"/>
    <tableColumn id="307" xr3:uid="{1AF16BC1-0578-46CC-AED2-370628672C23}" uniqueName="307" name="Spalte286" queryTableFieldId="307" headerRowDxfId="741" dataDxfId="740" headerRowCellStyle="Standard" dataCellStyle="Standard"/>
    <tableColumn id="308" xr3:uid="{217FE393-9F32-4450-ABAA-437E694943E8}" uniqueName="308" name="Spalte287" queryTableFieldId="308" headerRowDxfId="739" dataDxfId="738" headerRowCellStyle="Standard" dataCellStyle="Standard"/>
    <tableColumn id="309" xr3:uid="{3145820D-CF82-48B6-AEFC-A44C0EC02269}" uniqueName="309" name="Spalte288" queryTableFieldId="309" headerRowDxfId="737" dataDxfId="736" headerRowCellStyle="Standard" dataCellStyle="Standard"/>
    <tableColumn id="310" xr3:uid="{160B630C-69C4-4A67-961D-37EC02984665}" uniqueName="310" name="Spalte289" queryTableFieldId="310" headerRowDxfId="735" dataDxfId="734" headerRowCellStyle="Standard" dataCellStyle="Standard"/>
    <tableColumn id="311" xr3:uid="{06BE051B-166F-47ED-B6B3-8D2CE0B26A90}" uniqueName="311" name="Spalte290" queryTableFieldId="311" headerRowDxfId="733" dataDxfId="732" headerRowCellStyle="Standard" dataCellStyle="Standard"/>
    <tableColumn id="312" xr3:uid="{8C85164D-B822-4EF3-94E7-BBA891554A1D}" uniqueName="312" name="Spalte291" queryTableFieldId="312" headerRowDxfId="731" dataDxfId="730" headerRowCellStyle="Standard" dataCellStyle="Standard"/>
    <tableColumn id="313" xr3:uid="{B6D7D1BC-5F21-4873-B606-D9E711FDA068}" uniqueName="313" name="Spalte292" queryTableFieldId="313" headerRowDxfId="729" dataDxfId="728" headerRowCellStyle="Standard" dataCellStyle="Standard"/>
    <tableColumn id="314" xr3:uid="{818E11B1-6B04-4D33-91A4-8DC4ED4D70F3}" uniqueName="314" name="Spalte293" queryTableFieldId="314" headerRowDxfId="727" dataDxfId="726" headerRowCellStyle="Standard" dataCellStyle="Standard"/>
    <tableColumn id="315" xr3:uid="{D627F89F-43BE-4782-83FE-365F0FBA1239}" uniqueName="315" name="Spalte294" queryTableFieldId="315" headerRowDxfId="725" dataDxfId="724" headerRowCellStyle="Standard" dataCellStyle="Standard"/>
    <tableColumn id="316" xr3:uid="{29A194A0-33D4-4583-A505-584DF56D60FD}" uniqueName="316" name="Spalte295" queryTableFieldId="316" headerRowDxfId="723" dataDxfId="722" headerRowCellStyle="Standard" dataCellStyle="Standard"/>
    <tableColumn id="317" xr3:uid="{68C11F2A-F936-4BB3-9117-F4A14B4A9B40}" uniqueName="317" name="Spalte296" queryTableFieldId="317" headerRowDxfId="721" dataDxfId="720" headerRowCellStyle="Standard" dataCellStyle="Standard"/>
    <tableColumn id="318" xr3:uid="{C2879E30-A537-4750-8DE6-1CA0DFBFA5D0}" uniqueName="318" name="Spalte297" queryTableFieldId="318" headerRowDxfId="719" dataDxfId="718" headerRowCellStyle="Standard" dataCellStyle="Standard"/>
    <tableColumn id="319" xr3:uid="{D6749653-7951-4F73-B099-897D202FAE53}" uniqueName="319" name="Spalte298" queryTableFieldId="319" headerRowDxfId="717" dataDxfId="716" headerRowCellStyle="Standard" dataCellStyle="Standard"/>
    <tableColumn id="320" xr3:uid="{07B059AF-309A-4562-BB12-9AFCC50B5378}" uniqueName="320" name="Spalte299" queryTableFieldId="320" headerRowDxfId="715" dataDxfId="714" headerRowCellStyle="Standard" dataCellStyle="Standard"/>
    <tableColumn id="321" xr3:uid="{42B10C01-BB0E-458C-8640-3EABD5573207}" uniqueName="321" name="Spalte300" queryTableFieldId="321" headerRowDxfId="713" dataDxfId="712" headerRowCellStyle="Standard" dataCellStyle="Standard"/>
    <tableColumn id="322" xr3:uid="{21EAE7BB-EDB4-429D-830D-F589209A56BF}" uniqueName="322" name="Spalte301" queryTableFieldId="322" headerRowDxfId="711" dataDxfId="710" headerRowCellStyle="Standard" dataCellStyle="Standard"/>
    <tableColumn id="323" xr3:uid="{A634130D-ADA4-4AC6-B0B0-2D764AFFCA75}" uniqueName="323" name="Spalte302" queryTableFieldId="323" headerRowDxfId="709" dataDxfId="708" headerRowCellStyle="Standard" dataCellStyle="Standard"/>
    <tableColumn id="324" xr3:uid="{795540AE-285B-4759-90CE-CF41C8E41EF7}" uniqueName="324" name="Spalte303" queryTableFieldId="324" headerRowDxfId="707" dataDxfId="706" headerRowCellStyle="Standard" dataCellStyle="Standard"/>
    <tableColumn id="325" xr3:uid="{F55C82A1-24B1-421E-84AD-D957AED7AE0A}" uniqueName="325" name="Spalte304" queryTableFieldId="325" headerRowDxfId="705" dataDxfId="704" headerRowCellStyle="Standard" dataCellStyle="Standard"/>
    <tableColumn id="326" xr3:uid="{0CF00D95-BBC0-42D4-A9E2-59FEB723CB2F}" uniqueName="326" name="Spalte305" queryTableFieldId="326" headerRowDxfId="703" dataDxfId="702" headerRowCellStyle="Standard" dataCellStyle="Standard"/>
    <tableColumn id="327" xr3:uid="{E1B1B43B-2DB8-4E38-BDED-5A32474D954D}" uniqueName="327" name="Spalte306" queryTableFieldId="327" headerRowDxfId="701" dataDxfId="700" headerRowCellStyle="Standard" dataCellStyle="Standard"/>
    <tableColumn id="328" xr3:uid="{9A091145-194E-4339-B66C-5F628784B3DB}" uniqueName="328" name="Spalte307" queryTableFieldId="328" headerRowDxfId="699" dataDxfId="698" headerRowCellStyle="Standard" dataCellStyle="Standard"/>
    <tableColumn id="329" xr3:uid="{E98F5F4A-C5E2-4F78-B59A-18107C7F5385}" uniqueName="329" name="Spalte308" queryTableFieldId="329" headerRowDxfId="697" dataDxfId="696" headerRowCellStyle="Standard" dataCellStyle="Standard"/>
    <tableColumn id="330" xr3:uid="{77835100-DE92-406A-9EE1-1D3C2B367692}" uniqueName="330" name="Spalte309" queryTableFieldId="330" headerRowDxfId="695" dataDxfId="694" headerRowCellStyle="Standard" dataCellStyle="Standard"/>
    <tableColumn id="331" xr3:uid="{4276171B-B919-45C5-A588-33D735810539}" uniqueName="331" name="Spalte310" queryTableFieldId="331" headerRowDxfId="693" dataDxfId="692" headerRowCellStyle="Standard" dataCellStyle="Standard"/>
    <tableColumn id="332" xr3:uid="{179F500F-FE49-4CC6-8A97-C90F9AEC6A9F}" uniqueName="332" name="Spalte311" queryTableFieldId="332" headerRowDxfId="691" dataDxfId="690" headerRowCellStyle="Standard" dataCellStyle="Standard"/>
    <tableColumn id="333" xr3:uid="{FD8BC746-9407-46F7-8FDC-2F9A81A672A3}" uniqueName="333" name="Spalte312" queryTableFieldId="333" headerRowDxfId="689" dataDxfId="688" headerRowCellStyle="Standard" dataCellStyle="Standard"/>
    <tableColumn id="334" xr3:uid="{ECBB2F71-359D-48A7-95F0-5CB7CFA7A14A}" uniqueName="334" name="Spalte313" queryTableFieldId="334" headerRowDxfId="687" dataDxfId="686" headerRowCellStyle="Standard" dataCellStyle="Standard"/>
    <tableColumn id="335" xr3:uid="{CED2C77D-2EBF-4697-8344-78FF8D52B86A}" uniqueName="335" name="Spalte314" queryTableFieldId="335" headerRowDxfId="685" dataDxfId="684" headerRowCellStyle="Standard" dataCellStyle="Standard"/>
    <tableColumn id="336" xr3:uid="{0512A8D4-047A-40E6-A224-1EAEB54F6FB3}" uniqueName="336" name="Spalte315" queryTableFieldId="336" headerRowDxfId="683" dataDxfId="682" headerRowCellStyle="Standard" dataCellStyle="Standard"/>
    <tableColumn id="337" xr3:uid="{544EF4E0-5746-4683-9AA5-591AA48B724F}" uniqueName="337" name="Spalte316" queryTableFieldId="337" headerRowDxfId="681" dataDxfId="680" headerRowCellStyle="Standard" dataCellStyle="Standard"/>
    <tableColumn id="338" xr3:uid="{EC630435-5872-49E3-B39C-4F77976CDD6A}" uniqueName="338" name="Spalte317" queryTableFieldId="338" headerRowDxfId="679" dataDxfId="678" headerRowCellStyle="Standard" dataCellStyle="Standard"/>
    <tableColumn id="339" xr3:uid="{AB528FF0-345A-4850-945D-6CCDC3FC85A6}" uniqueName="339" name="Spalte318" queryTableFieldId="339" headerRowDxfId="677" dataDxfId="676" headerRowCellStyle="Standard" dataCellStyle="Standard"/>
    <tableColumn id="340" xr3:uid="{C7327137-1A24-40E2-953E-430B3AF85A0B}" uniqueName="340" name="Spalte319" queryTableFieldId="340" headerRowDxfId="675" dataDxfId="674" headerRowCellStyle="Standard" dataCellStyle="Standard"/>
    <tableColumn id="341" xr3:uid="{03FD826F-2867-49DC-B1FF-D70954DE72D5}" uniqueName="341" name="Spalte320" queryTableFieldId="341" headerRowDxfId="673" dataDxfId="672" headerRowCellStyle="Standard" dataCellStyle="Standard"/>
    <tableColumn id="342" xr3:uid="{5C543007-8239-4E95-A4D9-4472618C1D4E}" uniqueName="342" name="Spalte321" queryTableFieldId="342" headerRowDxfId="671" dataDxfId="670" headerRowCellStyle="Standard" dataCellStyle="Standard"/>
    <tableColumn id="343" xr3:uid="{6FBE2ECE-596F-4272-A77D-F24B35530C03}" uniqueName="343" name="Spalte322" queryTableFieldId="343" headerRowDxfId="669" dataDxfId="668" headerRowCellStyle="Standard" dataCellStyle="Standard"/>
    <tableColumn id="344" xr3:uid="{670D9CE1-0A14-4E10-BACF-C7CBAC23576E}" uniqueName="344" name="Spalte323" queryTableFieldId="344" headerRowDxfId="667" dataDxfId="666" headerRowCellStyle="Standard" dataCellStyle="Standard"/>
    <tableColumn id="345" xr3:uid="{42C0DC18-C65E-4FD2-9670-B909A2133C3A}" uniqueName="345" name="Spalte324" queryTableFieldId="345" headerRowDxfId="665" dataDxfId="664" headerRowCellStyle="Standard" dataCellStyle="Standard"/>
    <tableColumn id="346" xr3:uid="{030EADD6-4739-4F05-80F2-6E31B033D5AC}" uniqueName="346" name="Spalte325" queryTableFieldId="346" headerRowDxfId="663" dataDxfId="662" headerRowCellStyle="Standard" dataCellStyle="Standard"/>
    <tableColumn id="347" xr3:uid="{AC946F20-74AA-42D7-9CAE-880D199E5FD8}" uniqueName="347" name="Spalte326" queryTableFieldId="347" headerRowDxfId="661" dataDxfId="660" headerRowCellStyle="Standard" dataCellStyle="Standard"/>
    <tableColumn id="348" xr3:uid="{5B864B90-804B-4CAB-93AE-08033EBE94DC}" uniqueName="348" name="Spalte327" queryTableFieldId="348" headerRowDxfId="659" dataDxfId="658" headerRowCellStyle="Standard" dataCellStyle="Standard"/>
    <tableColumn id="349" xr3:uid="{A5E85E2D-F429-43D2-8976-FCB6C67BEFCA}" uniqueName="349" name="Spalte328" queryTableFieldId="349" headerRowDxfId="657" dataDxfId="656" headerRowCellStyle="Standard" dataCellStyle="Standard"/>
    <tableColumn id="350" xr3:uid="{99F3F756-F599-485C-A09D-998FD988BCD1}" uniqueName="350" name="Spalte329" queryTableFieldId="350" headerRowDxfId="655" dataDxfId="654" headerRowCellStyle="Standard" dataCellStyle="Standard"/>
    <tableColumn id="351" xr3:uid="{C1980143-7D3D-4062-AA72-20D885E88AB4}" uniqueName="351" name="Spalte330" queryTableFieldId="351" headerRowDxfId="653" dataDxfId="652" headerRowCellStyle="Standard" dataCellStyle="Standard"/>
    <tableColumn id="352" xr3:uid="{5AF3A6B5-0247-47FB-A956-D282D98F1FD9}" uniqueName="352" name="Spalte331" queryTableFieldId="352" headerRowDxfId="651" dataDxfId="650" headerRowCellStyle="Standard" dataCellStyle="Standard"/>
    <tableColumn id="353" xr3:uid="{28442AF6-8DAC-4B0D-89D1-7E33E71EC8E2}" uniqueName="353" name="Spalte332" queryTableFieldId="353" headerRowDxfId="649" dataDxfId="648" headerRowCellStyle="Standard" dataCellStyle="Standard"/>
    <tableColumn id="354" xr3:uid="{38D68206-969B-4D5A-8904-C609EB84C1D7}" uniqueName="354" name="Spalte333" queryTableFieldId="354" headerRowDxfId="647" dataDxfId="646" headerRowCellStyle="Standard" dataCellStyle="Standard"/>
    <tableColumn id="355" xr3:uid="{D851765E-680B-4155-B02A-D350E7C1B236}" uniqueName="355" name="Spalte334" queryTableFieldId="355" headerRowDxfId="645" dataDxfId="644" headerRowCellStyle="Standard" dataCellStyle="Standard"/>
    <tableColumn id="356" xr3:uid="{F991423C-090F-4803-95C9-5129595E8506}" uniqueName="356" name="Spalte335" queryTableFieldId="356" headerRowDxfId="643" dataDxfId="642" headerRowCellStyle="Standard" dataCellStyle="Standard"/>
    <tableColumn id="357" xr3:uid="{5FF5D130-AF9E-49DC-BD1E-C7B4D709B8ED}" uniqueName="357" name="Spalte336" queryTableFieldId="357" headerRowDxfId="641" dataDxfId="640" headerRowCellStyle="Standard" dataCellStyle="Standard"/>
    <tableColumn id="358" xr3:uid="{18482434-FEA1-4C4D-8EB5-6829B9AD93D9}" uniqueName="358" name="Spalte337" queryTableFieldId="358" headerRowDxfId="639" dataDxfId="638" headerRowCellStyle="Standard" dataCellStyle="Standard"/>
    <tableColumn id="359" xr3:uid="{60462D4D-6C23-4ACB-A44F-D4A0F889F709}" uniqueName="359" name="Spalte338" queryTableFieldId="359" headerRowDxfId="637" dataDxfId="636" headerRowCellStyle="Standard" dataCellStyle="Standard"/>
    <tableColumn id="360" xr3:uid="{C3790C58-2BB5-4D35-B432-DE36D8D50C31}" uniqueName="360" name="Spalte339" queryTableFieldId="360" headerRowDxfId="635" dataDxfId="634" headerRowCellStyle="Standard" dataCellStyle="Standard"/>
    <tableColumn id="361" xr3:uid="{21183337-E850-4FF1-9EEB-1CE2B51F45F2}" uniqueName="361" name="Spalte340" queryTableFieldId="361" headerRowDxfId="633" dataDxfId="632" headerRowCellStyle="Standard" dataCellStyle="Standard"/>
    <tableColumn id="362" xr3:uid="{8351B8F0-BF63-4424-9232-3DA2AF394688}" uniqueName="362" name="Spalte341" queryTableFieldId="362" headerRowDxfId="631" dataDxfId="630" headerRowCellStyle="Standard" dataCellStyle="Standard"/>
    <tableColumn id="363" xr3:uid="{BBE7CEF5-B438-4905-A253-DD89AFE0476B}" uniqueName="363" name="Spalte342" queryTableFieldId="363" headerRowDxfId="629" dataDxfId="628" headerRowCellStyle="Standard" dataCellStyle="Standard"/>
    <tableColumn id="364" xr3:uid="{8074FF84-541F-49FE-94D4-5595C4FADF9A}" uniqueName="364" name="Spalte343" queryTableFieldId="364" headerRowDxfId="627" dataDxfId="626" headerRowCellStyle="Standard" dataCellStyle="Standard"/>
    <tableColumn id="365" xr3:uid="{A2024513-59BC-40A5-96FC-4F4747040DBC}" uniqueName="365" name="Spalte344" queryTableFieldId="365" headerRowDxfId="625" dataDxfId="624" headerRowCellStyle="Standard" dataCellStyle="Standard"/>
    <tableColumn id="366" xr3:uid="{78F4C766-CD13-4074-AF8D-5BD9C4E6BB8D}" uniqueName="366" name="Spalte345" queryTableFieldId="366" headerRowDxfId="623" dataDxfId="622" headerRowCellStyle="Standard" dataCellStyle="Standard"/>
    <tableColumn id="367" xr3:uid="{4ADC886A-B6E8-4985-A9AF-E01C44427F40}" uniqueName="367" name="Spalte346" queryTableFieldId="367" headerRowDxfId="621" dataDxfId="620" headerRowCellStyle="Standard" dataCellStyle="Standard"/>
    <tableColumn id="368" xr3:uid="{52F6157E-55D7-4CF0-8CFD-5961C5A4240D}" uniqueName="368" name="Spalte347" queryTableFieldId="368" headerRowDxfId="619" dataDxfId="618" headerRowCellStyle="Standard" dataCellStyle="Standard"/>
    <tableColumn id="369" xr3:uid="{574F9CC7-443E-46F0-BDF3-535E47E426C5}" uniqueName="369" name="Spalte348" queryTableFieldId="369" headerRowDxfId="617" dataDxfId="616" headerRowCellStyle="Standard" dataCellStyle="Standard"/>
    <tableColumn id="370" xr3:uid="{04C4FBF7-8184-4737-8524-36FFD8845622}" uniqueName="370" name="Spalte349" queryTableFieldId="370" headerRowDxfId="615" dataDxfId="614" headerRowCellStyle="Standard" dataCellStyle="Standard"/>
    <tableColumn id="371" xr3:uid="{A608DA05-2922-4B59-9E12-39F965C29927}" uniqueName="371" name="Spalte350" queryTableFieldId="371" headerRowDxfId="613" dataDxfId="612" headerRowCellStyle="Standard" dataCellStyle="Standard"/>
    <tableColumn id="372" xr3:uid="{2C4B1F3D-8BF6-4E67-9C2D-39B410D6FC8C}" uniqueName="372" name="Spalte351" queryTableFieldId="372" headerRowDxfId="611" dataDxfId="610" headerRowCellStyle="Standard" dataCellStyle="Standard"/>
    <tableColumn id="373" xr3:uid="{8FB1F765-775F-40D5-832C-DB994C60079A}" uniqueName="373" name="Spalte352" queryTableFieldId="373" headerRowDxfId="609" dataDxfId="608" headerRowCellStyle="Standard" dataCellStyle="Standard"/>
    <tableColumn id="374" xr3:uid="{3E35B2C4-C83E-45B0-A722-F9A8500FB6C6}" uniqueName="374" name="Spalte353" queryTableFieldId="374" headerRowDxfId="607" dataDxfId="606" headerRowCellStyle="Standard" dataCellStyle="Standard"/>
    <tableColumn id="375" xr3:uid="{0114CA56-D55D-459D-B01A-A934FC563269}" uniqueName="375" name="Spalte354" queryTableFieldId="375" headerRowDxfId="605" dataDxfId="604" headerRowCellStyle="Standard" dataCellStyle="Standard"/>
    <tableColumn id="376" xr3:uid="{CA415A2D-4584-45DF-B198-ED83E2C2CFAD}" uniqueName="376" name="Spalte355" queryTableFieldId="376" headerRowDxfId="603" dataDxfId="602" headerRowCellStyle="Standard" dataCellStyle="Standard"/>
    <tableColumn id="377" xr3:uid="{6D24B920-8065-4B65-9530-677D52D6A6F8}" uniqueName="377" name="Spalte356" queryTableFieldId="377" headerRowDxfId="601" dataDxfId="600" headerRowCellStyle="Standard" dataCellStyle="Standard"/>
    <tableColumn id="378" xr3:uid="{31312DED-C01D-4B4B-A5F6-5F7248FE3FF9}" uniqueName="378" name="Spalte357" queryTableFieldId="378" headerRowDxfId="599" dataDxfId="598" headerRowCellStyle="Standard" dataCellStyle="Standard"/>
    <tableColumn id="379" xr3:uid="{7DD2DD60-85F1-4CE5-BB01-B69789046CD9}" uniqueName="379" name="Spalte358" queryTableFieldId="379" headerRowDxfId="597" dataDxfId="596" headerRowCellStyle="Standard" dataCellStyle="Standard"/>
    <tableColumn id="380" xr3:uid="{B11AA78A-71B5-4D54-8EE4-0FCFA91B0316}" uniqueName="380" name="Spalte359" queryTableFieldId="380" headerRowDxfId="595" dataDxfId="594" headerRowCellStyle="Standard" dataCellStyle="Standard"/>
    <tableColumn id="381" xr3:uid="{87991784-A395-4D55-9373-D928B6B3261D}" uniqueName="381" name="Spalte360" queryTableFieldId="381" headerRowDxfId="593" dataDxfId="592" headerRowCellStyle="Standard" dataCellStyle="Standard"/>
    <tableColumn id="382" xr3:uid="{68860288-A118-43FA-BDA5-22D30C1428E7}" uniqueName="382" name="Spalte361" queryTableFieldId="382" headerRowDxfId="591" dataDxfId="590" headerRowCellStyle="Standard" dataCellStyle="Standard"/>
    <tableColumn id="383" xr3:uid="{4D934AA3-C172-4E34-9954-9CFADA93757E}" uniqueName="383" name="Spalte362" queryTableFieldId="383" headerRowDxfId="589" dataDxfId="588" headerRowCellStyle="Standard" dataCellStyle="Standard"/>
    <tableColumn id="384" xr3:uid="{BE581818-98E1-4ADF-8A20-1EC7370FF0A7}" uniqueName="384" name="Spalte363" queryTableFieldId="384" headerRowDxfId="587" dataDxfId="586" headerRowCellStyle="Standard" dataCellStyle="Standard"/>
    <tableColumn id="385" xr3:uid="{EFF24875-74B5-49B5-9188-BF1209AA431F}" uniqueName="385" name="Spalte364" queryTableFieldId="385" headerRowDxfId="585" dataDxfId="584" headerRowCellStyle="Standard" dataCellStyle="Standard"/>
    <tableColumn id="386" xr3:uid="{C9EC9BAF-7045-4178-A7F3-1BCE21F8DBC2}" uniqueName="386" name="Spalte365" queryTableFieldId="386" headerRowDxfId="583" dataDxfId="582" headerRowCellStyle="Standard" dataCellStyle="Standard"/>
    <tableColumn id="387" xr3:uid="{2A0B0351-30BB-42C3-BB34-1123A1D989F2}" uniqueName="387" name="Spalte366" queryTableFieldId="387" headerRowDxfId="581" dataDxfId="580" headerRowCellStyle="Standard" dataCellStyle="Standard"/>
    <tableColumn id="388" xr3:uid="{AA8F219F-5AC7-4EDD-B3B8-A995009B0E28}" uniqueName="388" name="Spalte367" queryTableFieldId="388" headerRowDxfId="579" dataDxfId="578" headerRowCellStyle="Standard" dataCellStyle="Standard"/>
    <tableColumn id="389" xr3:uid="{6B0015FA-64CF-48D0-877C-C80D6B5D68D4}" uniqueName="389" name="Spalte368" queryTableFieldId="389" headerRowDxfId="577" dataDxfId="576" headerRowCellStyle="Standard" dataCellStyle="Standard"/>
    <tableColumn id="390" xr3:uid="{AA391C28-9CE3-485C-8FBB-D6445171F406}" uniqueName="390" name="Spalte369" queryTableFieldId="390" headerRowDxfId="575" dataDxfId="574" headerRowCellStyle="Standard" dataCellStyle="Standard"/>
    <tableColumn id="391" xr3:uid="{D337DBDF-ECBC-4D0E-B4A1-7F66BA0013EB}" uniqueName="391" name="Spalte370" queryTableFieldId="391" headerRowDxfId="573" dataDxfId="572" headerRowCellStyle="Standard" dataCellStyle="Standard"/>
    <tableColumn id="392" xr3:uid="{9605D724-A3E1-416B-AE96-7FC38A664F3C}" uniqueName="392" name="Spalte371" queryTableFieldId="392" headerRowDxfId="571" dataDxfId="570" headerRowCellStyle="Standard" dataCellStyle="Standard"/>
    <tableColumn id="393" xr3:uid="{F8FA9295-F687-48B4-BDDA-25A7F6FC2C69}" uniqueName="393" name="Spalte372" queryTableFieldId="393" headerRowDxfId="569" dataDxfId="568" headerRowCellStyle="Standard" dataCellStyle="Standard"/>
    <tableColumn id="394" xr3:uid="{5E009C22-DAA1-463A-986E-5E3167728F3B}" uniqueName="394" name="Spalte373" queryTableFieldId="394" headerRowDxfId="567" dataDxfId="566" headerRowCellStyle="Standard" dataCellStyle="Standard"/>
    <tableColumn id="395" xr3:uid="{AEB9CCF2-0ED2-4D7A-8900-B92632D1776F}" uniqueName="395" name="Spalte374" queryTableFieldId="395" headerRowDxfId="565" dataDxfId="564" headerRowCellStyle="Standard" dataCellStyle="Standard"/>
    <tableColumn id="396" xr3:uid="{99745151-02C1-49C0-B55B-45D95CF1ADC9}" uniqueName="396" name="Spalte375" queryTableFieldId="396" headerRowDxfId="563" dataDxfId="562" headerRowCellStyle="Standard" dataCellStyle="Standard"/>
    <tableColumn id="397" xr3:uid="{BA42D741-397E-40AA-83A5-F8717B2E99A0}" uniqueName="397" name="Spalte376" queryTableFieldId="397" headerRowDxfId="561" dataDxfId="560" headerRowCellStyle="Standard" dataCellStyle="Standard"/>
    <tableColumn id="398" xr3:uid="{9E1832CA-A148-47FD-B15D-A8E80CE6F816}" uniqueName="398" name="Spalte377" queryTableFieldId="398" headerRowDxfId="559" dataDxfId="558" headerRowCellStyle="Standard" dataCellStyle="Standard"/>
    <tableColumn id="399" xr3:uid="{37C24664-C50D-4D2D-8315-DB891A774D2B}" uniqueName="399" name="Spalte378" queryTableFieldId="399" headerRowDxfId="557" dataDxfId="556" headerRowCellStyle="Standard" dataCellStyle="Standard"/>
    <tableColumn id="400" xr3:uid="{B4DA8FD1-F7B6-4D2C-9211-DDF397C3A5EB}" uniqueName="400" name="Spalte379" queryTableFieldId="400" headerRowDxfId="555" dataDxfId="554" headerRowCellStyle="Standard" dataCellStyle="Standard"/>
    <tableColumn id="401" xr3:uid="{61791716-CEF0-4411-A6D9-39B4CB1D4A19}" uniqueName="401" name="Spalte380" queryTableFieldId="401" headerRowDxfId="553" dataDxfId="552" headerRowCellStyle="Standard" dataCellStyle="Standard"/>
    <tableColumn id="402" xr3:uid="{C086BDFD-B940-4095-9A81-0B5D9E8FBAEE}" uniqueName="402" name="Spalte381" queryTableFieldId="402" headerRowDxfId="551" dataDxfId="550" headerRowCellStyle="Standard" dataCellStyle="Standard"/>
    <tableColumn id="403" xr3:uid="{81A84EB9-B574-4D91-8459-79790DE364E2}" uniqueName="403" name="Spalte382" queryTableFieldId="403" headerRowDxfId="549" dataDxfId="548" headerRowCellStyle="Standard" dataCellStyle="Standard"/>
    <tableColumn id="404" xr3:uid="{D274E64A-2C39-4993-BDDB-E3AAC5446503}" uniqueName="404" name="Spalte383" queryTableFieldId="404" headerRowDxfId="547" dataDxfId="546" headerRowCellStyle="Standard" dataCellStyle="Standard"/>
    <tableColumn id="405" xr3:uid="{C9D3A38C-D421-4CB8-9994-C85F2DB4E075}" uniqueName="405" name="Spalte384" queryTableFieldId="405" headerRowDxfId="545" dataDxfId="544" headerRowCellStyle="Standard" dataCellStyle="Standard"/>
    <tableColumn id="406" xr3:uid="{EABE278B-CD7C-40A0-8E8A-7B0DEEB68C44}" uniqueName="406" name="Spalte385" queryTableFieldId="406" headerRowDxfId="543" dataDxfId="542" headerRowCellStyle="Standard" dataCellStyle="Standard"/>
    <tableColumn id="407" xr3:uid="{F5011602-0BC4-4F2D-A13E-2934DE6B2E2C}" uniqueName="407" name="Spalte386" queryTableFieldId="407" headerRowDxfId="541" dataDxfId="540" headerRowCellStyle="Standard" dataCellStyle="Standard"/>
    <tableColumn id="408" xr3:uid="{4FA80F79-543A-4CDF-9F42-302FF9457654}" uniqueName="408" name="Spalte387" queryTableFieldId="408" headerRowDxfId="539" dataDxfId="538" headerRowCellStyle="Standard" dataCellStyle="Standard"/>
    <tableColumn id="409" xr3:uid="{A910707E-1DED-43C2-9E2F-D39E9F502EAB}" uniqueName="409" name="Spalte388" queryTableFieldId="409" headerRowDxfId="537" dataDxfId="536" headerRowCellStyle="Standard" dataCellStyle="Standard"/>
    <tableColumn id="410" xr3:uid="{9823F97E-07A0-41A2-984C-254840A3DDB4}" uniqueName="410" name="Spalte389" queryTableFieldId="410" headerRowDxfId="535" dataDxfId="534" headerRowCellStyle="Standard" dataCellStyle="Standard"/>
    <tableColumn id="411" xr3:uid="{3240585D-7F1A-4732-AC42-F0E68669CD9A}" uniqueName="411" name="Spalte390" queryTableFieldId="411" headerRowDxfId="533" dataDxfId="532" headerRowCellStyle="Standard" dataCellStyle="Standard"/>
    <tableColumn id="412" xr3:uid="{35043534-4AA8-45AE-BACF-654F74A56B68}" uniqueName="412" name="Spalte391" queryTableFieldId="412" headerRowDxfId="531" dataDxfId="530" headerRowCellStyle="Standard" dataCellStyle="Standard"/>
    <tableColumn id="413" xr3:uid="{6AFD7087-AD7F-448D-8F44-610D36A6FF96}" uniqueName="413" name="Spalte392" queryTableFieldId="413" headerRowDxfId="529" dataDxfId="528" headerRowCellStyle="Standard" dataCellStyle="Standard"/>
    <tableColumn id="414" xr3:uid="{48910362-FC09-4B6F-A3B6-2AD30A094E55}" uniqueName="414" name="Spalte393" queryTableFieldId="414" headerRowDxfId="527" dataDxfId="526" headerRowCellStyle="Standard" dataCellStyle="Standard"/>
    <tableColumn id="415" xr3:uid="{F2DA5401-BF91-412C-95E5-38C09A500BFD}" uniqueName="415" name="Spalte394" queryTableFieldId="415" headerRowDxfId="525" dataDxfId="524" headerRowCellStyle="Standard" dataCellStyle="Standard"/>
    <tableColumn id="416" xr3:uid="{855A3D39-4C27-443B-BBB2-5CE6A9E90AE2}" uniqueName="416" name="Spalte395" queryTableFieldId="416" headerRowDxfId="523" dataDxfId="522" headerRowCellStyle="Standard" dataCellStyle="Standard"/>
    <tableColumn id="417" xr3:uid="{7A9B025A-7DA7-4902-BA5E-DF015854B4F2}" uniqueName="417" name="Spalte396" queryTableFieldId="417" headerRowDxfId="521" dataDxfId="520" headerRowCellStyle="Standard" dataCellStyle="Standard"/>
    <tableColumn id="418" xr3:uid="{F664B8D2-46F1-431E-828F-1A1FB5DAD21F}" uniqueName="418" name="Spalte397" queryTableFieldId="418" headerRowDxfId="519" dataDxfId="518" headerRowCellStyle="Standard" dataCellStyle="Standard"/>
    <tableColumn id="419" xr3:uid="{8D0E6D21-2913-478D-83BA-6D99F84B5B74}" uniqueName="419" name="Spalte398" queryTableFieldId="419" headerRowDxfId="517" dataDxfId="516" headerRowCellStyle="Standard" dataCellStyle="Standard"/>
    <tableColumn id="420" xr3:uid="{DC65446B-EB6F-4A6E-A3C8-C420BC73A677}" uniqueName="420" name="Spalte399" queryTableFieldId="420" headerRowDxfId="515" dataDxfId="514" headerRowCellStyle="Standard" dataCellStyle="Standard"/>
    <tableColumn id="421" xr3:uid="{BD054F99-789F-4C8B-9058-3690C6B213D5}" uniqueName="421" name="Spalte400" queryTableFieldId="421" headerRowDxfId="513" dataDxfId="512" headerRowCellStyle="Standard" dataCellStyle="Standard"/>
    <tableColumn id="422" xr3:uid="{57ED8AD2-A14E-4AED-A170-0DA6E7C60F78}" uniqueName="422" name="Spalte401" queryTableFieldId="422" headerRowDxfId="511" dataDxfId="510" headerRowCellStyle="Standard" dataCellStyle="Standard"/>
    <tableColumn id="423" xr3:uid="{737F1EB7-CBEF-4034-9188-EE71973F90E1}" uniqueName="423" name="Spalte402" queryTableFieldId="423" headerRowDxfId="509" dataDxfId="508" headerRowCellStyle="Standard" dataCellStyle="Standard"/>
    <tableColumn id="424" xr3:uid="{9FDF7723-61C5-41DB-94FA-63317DF01767}" uniqueName="424" name="Spalte403" queryTableFieldId="424" headerRowDxfId="507" dataDxfId="506" headerRowCellStyle="Standard" dataCellStyle="Standard"/>
    <tableColumn id="425" xr3:uid="{89769484-8D32-473E-844D-70C6BD8EBA02}" uniqueName="425" name="Spalte404" queryTableFieldId="425" headerRowDxfId="505" dataDxfId="504" headerRowCellStyle="Standard" dataCellStyle="Standard"/>
    <tableColumn id="426" xr3:uid="{86FBD202-D12E-4472-8AE8-907D17801F0D}" uniqueName="426" name="Spalte405" queryTableFieldId="426" headerRowDxfId="503" dataDxfId="502" headerRowCellStyle="Standard" dataCellStyle="Standard"/>
    <tableColumn id="427" xr3:uid="{8AB1B6F7-A5E6-4877-A085-C31DCE82BF46}" uniqueName="427" name="Spalte406" queryTableFieldId="427" headerRowDxfId="501" dataDxfId="500" headerRowCellStyle="Standard" dataCellStyle="Standard"/>
    <tableColumn id="428" xr3:uid="{5EF4FD7D-9645-456C-A3E6-487507155C39}" uniqueName="428" name="Spalte407" queryTableFieldId="428" headerRowDxfId="499" dataDxfId="498" headerRowCellStyle="Standard" dataCellStyle="Standard"/>
    <tableColumn id="429" xr3:uid="{47A32BFD-2CAC-4039-BC3C-07318CDBCAB3}" uniqueName="429" name="Spalte408" queryTableFieldId="429" headerRowDxfId="497" dataDxfId="496" headerRowCellStyle="Standard" dataCellStyle="Standard"/>
    <tableColumn id="430" xr3:uid="{57921224-B067-40CD-9816-CD258883DC6E}" uniqueName="430" name="Spalte409" queryTableFieldId="430" headerRowDxfId="495" dataDxfId="494" headerRowCellStyle="Standard" dataCellStyle="Standard"/>
    <tableColumn id="431" xr3:uid="{E7C7DE27-11D5-40FD-BF34-DCB1ACE9AAA0}" uniqueName="431" name="Spalte410" queryTableFieldId="431" headerRowDxfId="493" dataDxfId="492" headerRowCellStyle="Standard" dataCellStyle="Standard"/>
    <tableColumn id="432" xr3:uid="{487180FF-301E-46EE-8D00-C44FD1ADE7E7}" uniqueName="432" name="Spalte411" queryTableFieldId="432" headerRowDxfId="491" dataDxfId="490" headerRowCellStyle="Standard" dataCellStyle="Standard"/>
    <tableColumn id="433" xr3:uid="{88C00EFD-98C2-4B64-A907-8CABCDEFF6EE}" uniqueName="433" name="Spalte412" queryTableFieldId="433" headerRowDxfId="489" dataDxfId="488" headerRowCellStyle="Standard" dataCellStyle="Standard"/>
    <tableColumn id="434" xr3:uid="{2F8F6D02-9095-4DA6-8964-C43DF370FDC0}" uniqueName="434" name="Spalte413" queryTableFieldId="434" headerRowDxfId="487" dataDxfId="486" headerRowCellStyle="Standard" dataCellStyle="Standard"/>
    <tableColumn id="435" xr3:uid="{DA24E8C0-0493-4CEE-8BFA-94F3779FBAA1}" uniqueName="435" name="Spalte414" queryTableFieldId="435" headerRowDxfId="485" dataDxfId="484" headerRowCellStyle="Standard" dataCellStyle="Standard"/>
    <tableColumn id="436" xr3:uid="{A1E77C08-0EA8-455C-AEFF-E3FD844AAC8F}" uniqueName="436" name="Spalte415" queryTableFieldId="436" headerRowDxfId="483" dataDxfId="482" headerRowCellStyle="Standard" dataCellStyle="Standard"/>
    <tableColumn id="437" xr3:uid="{25234E6E-6C87-4271-8C1D-EA38313DB8F3}" uniqueName="437" name="Spalte416" queryTableFieldId="437" headerRowDxfId="481" dataDxfId="480" headerRowCellStyle="Standard" dataCellStyle="Standard"/>
    <tableColumn id="438" xr3:uid="{5347B6C1-C93F-4726-B839-08E5202AFB28}" uniqueName="438" name="Spalte417" queryTableFieldId="438" headerRowDxfId="479" dataDxfId="478" headerRowCellStyle="Standard" dataCellStyle="Standard"/>
    <tableColumn id="439" xr3:uid="{F702B74A-C43F-478E-846F-46EF4C57B66D}" uniqueName="439" name="Spalte418" queryTableFieldId="439" headerRowDxfId="477" dataDxfId="476" headerRowCellStyle="Standard" dataCellStyle="Standard"/>
    <tableColumn id="440" xr3:uid="{4F198D6B-7D9C-47AA-B485-17DF3A0CC352}" uniqueName="440" name="Spalte419" queryTableFieldId="440" headerRowDxfId="475" dataDxfId="474" headerRowCellStyle="Standard" dataCellStyle="Standard"/>
    <tableColumn id="441" xr3:uid="{D2701235-A371-4D8E-A75A-1CBB0D98477F}" uniqueName="441" name="Spalte420" queryTableFieldId="441" headerRowDxfId="473" dataDxfId="472" headerRowCellStyle="Standard" dataCellStyle="Standard"/>
    <tableColumn id="442" xr3:uid="{2B7A0B07-6720-4C07-8AFF-DF86718CD037}" uniqueName="442" name="Spalte421" queryTableFieldId="442" headerRowDxfId="471" dataDxfId="470" headerRowCellStyle="Standard" dataCellStyle="Standard"/>
    <tableColumn id="443" xr3:uid="{264F7C8A-55A6-4B94-A638-CA6E78EB9A5A}" uniqueName="443" name="Spalte422" queryTableFieldId="443" headerRowDxfId="469" dataDxfId="468" headerRowCellStyle="Standard" dataCellStyle="Standard"/>
    <tableColumn id="444" xr3:uid="{A9D8229A-649C-4040-A4A9-74534F62A639}" uniqueName="444" name="Spalte423" queryTableFieldId="444" headerRowDxfId="467" dataDxfId="466" headerRowCellStyle="Standard" dataCellStyle="Standard"/>
    <tableColumn id="445" xr3:uid="{64BCFF3B-598B-4656-AF21-548414F19CFD}" uniqueName="445" name="Spalte424" queryTableFieldId="445" headerRowDxfId="465" dataDxfId="464" headerRowCellStyle="Standard" dataCellStyle="Standard"/>
    <tableColumn id="446" xr3:uid="{BB1B4F3D-291F-4A93-8041-B7A08AB80362}" uniqueName="446" name="Spalte425" queryTableFieldId="446" headerRowDxfId="463" dataDxfId="462" headerRowCellStyle="Standard" dataCellStyle="Standard"/>
    <tableColumn id="447" xr3:uid="{5EF846CD-F189-42E9-ADE9-A66C8158CA2A}" uniqueName="447" name="Spalte426" queryTableFieldId="447" headerRowDxfId="461" dataDxfId="460" headerRowCellStyle="Standard" dataCellStyle="Standard"/>
    <tableColumn id="448" xr3:uid="{55A7EFC0-9411-45BE-8D3D-46434BF979BA}" uniqueName="448" name="Spalte427" queryTableFieldId="448" headerRowDxfId="459" dataDxfId="458" headerRowCellStyle="Standard" dataCellStyle="Standard"/>
    <tableColumn id="449" xr3:uid="{D5087CA6-0F53-4CE6-8951-C535572FB1E6}" uniqueName="449" name="Spalte428" queryTableFieldId="449" headerRowDxfId="457" dataDxfId="456" headerRowCellStyle="Standard" dataCellStyle="Standard"/>
    <tableColumn id="450" xr3:uid="{C018BBCF-43A0-4DBB-B8BD-3F8C9436B33E}" uniqueName="450" name="Spalte429" queryTableFieldId="450" headerRowDxfId="455" dataDxfId="454" headerRowCellStyle="Standard" dataCellStyle="Standard"/>
    <tableColumn id="451" xr3:uid="{2552A9F1-4FE1-4126-A437-C7C18E157612}" uniqueName="451" name="Spalte430" queryTableFieldId="451" headerRowDxfId="453" dataDxfId="452" headerRowCellStyle="Standard" dataCellStyle="Standard"/>
    <tableColumn id="452" xr3:uid="{3C2C7DD0-FA3D-4A34-BD0E-F0F59231A7D8}" uniqueName="452" name="Spalte431" queryTableFieldId="452" headerRowDxfId="451" dataDxfId="450" headerRowCellStyle="Standard" dataCellStyle="Standard"/>
    <tableColumn id="453" xr3:uid="{400E0A06-9568-48C3-BCA1-FB88B0A248FA}" uniqueName="453" name="Spalte432" queryTableFieldId="453" headerRowDxfId="449" dataDxfId="448" headerRowCellStyle="Standard" dataCellStyle="Standard"/>
    <tableColumn id="454" xr3:uid="{C36367FD-1CD6-48B4-A98F-CE004F37E7AB}" uniqueName="454" name="Spalte433" queryTableFieldId="454" headerRowDxfId="447" dataDxfId="446" headerRowCellStyle="Standard" dataCellStyle="Standard"/>
    <tableColumn id="455" xr3:uid="{F5AB9004-63EE-4D67-B2EB-51E3BDA520DA}" uniqueName="455" name="Spalte434" queryTableFieldId="455" headerRowDxfId="445" dataDxfId="444" headerRowCellStyle="Standard" dataCellStyle="Standard"/>
    <tableColumn id="456" xr3:uid="{B84B10BE-8B48-4D71-B6CF-638E60C030E9}" uniqueName="456" name="Spalte435" queryTableFieldId="456" headerRowDxfId="443" dataDxfId="442" headerRowCellStyle="Standard" dataCellStyle="Standard"/>
    <tableColumn id="457" xr3:uid="{C24932AC-C92A-44CC-AB1E-281A37FC0524}" uniqueName="457" name="Spalte436" queryTableFieldId="457" headerRowDxfId="441" dataDxfId="440" headerRowCellStyle="Standard" dataCellStyle="Standard"/>
    <tableColumn id="458" xr3:uid="{DCD9DD37-C15B-450A-B0C3-F0A7AB866C4B}" uniqueName="458" name="Spalte437" queryTableFieldId="458" headerRowDxfId="439" dataDxfId="438" headerRowCellStyle="Standard" dataCellStyle="Standard"/>
    <tableColumn id="459" xr3:uid="{FB997279-CA4C-4E16-A8F9-5B5E32876839}" uniqueName="459" name="Spalte438" queryTableFieldId="459" headerRowDxfId="437" dataDxfId="436" headerRowCellStyle="Standard" dataCellStyle="Standard"/>
    <tableColumn id="460" xr3:uid="{476471D4-F9BB-4EE5-8A48-459F0E3F2067}" uniqueName="460" name="Spalte439" queryTableFieldId="460" headerRowDxfId="435" dataDxfId="434" headerRowCellStyle="Standard" dataCellStyle="Standard"/>
    <tableColumn id="461" xr3:uid="{F5984CCE-BC39-4F83-BC98-115168E3DD08}" uniqueName="461" name="Spalte440" queryTableFieldId="461" headerRowDxfId="433" dataDxfId="432" headerRowCellStyle="Standard" dataCellStyle="Standard"/>
    <tableColumn id="462" xr3:uid="{94D7C789-7CCF-45F5-B8C7-7139DA25CD61}" uniqueName="462" name="Spalte441" queryTableFieldId="462" headerRowDxfId="431" dataDxfId="430" headerRowCellStyle="Standard" dataCellStyle="Standard"/>
    <tableColumn id="463" xr3:uid="{42FFB114-0809-463F-A4E2-0B3A6F29DC31}" uniqueName="463" name="Spalte442" queryTableFieldId="463" headerRowDxfId="429" dataDxfId="428" headerRowCellStyle="Standard" dataCellStyle="Standard"/>
    <tableColumn id="464" xr3:uid="{A2ABE28C-5616-4CB2-BC36-4FA9FDBAA3A0}" uniqueName="464" name="Spalte443" queryTableFieldId="464" headerRowDxfId="427" dataDxfId="426" headerRowCellStyle="Standard" dataCellStyle="Standard"/>
    <tableColumn id="465" xr3:uid="{EA5BDBC1-AD62-4182-B2B7-AA7F53FADD31}" uniqueName="465" name="Spalte444" queryTableFieldId="465" headerRowDxfId="425" dataDxfId="424" headerRowCellStyle="Standard" dataCellStyle="Standard"/>
    <tableColumn id="466" xr3:uid="{FA19BF99-3269-4159-9CB0-C5199B1C0AC5}" uniqueName="466" name="Spalte445" queryTableFieldId="466" headerRowDxfId="423" dataDxfId="422" headerRowCellStyle="Standard" dataCellStyle="Standard"/>
    <tableColumn id="467" xr3:uid="{59B1428E-FBC6-424D-9635-277A92EE735E}" uniqueName="467" name="Spalte446" queryTableFieldId="467" headerRowDxfId="421" dataDxfId="420" headerRowCellStyle="Standard" dataCellStyle="Standard"/>
    <tableColumn id="468" xr3:uid="{90B1209D-C5AC-4441-84B7-80980AAF0480}" uniqueName="468" name="Spalte447" queryTableFieldId="468" headerRowDxfId="419" dataDxfId="418" headerRowCellStyle="Standard" dataCellStyle="Standard"/>
    <tableColumn id="469" xr3:uid="{DD621F7E-10CE-4456-A739-5240474A96F0}" uniqueName="469" name="Spalte448" queryTableFieldId="469" headerRowDxfId="417" dataDxfId="416" headerRowCellStyle="Standard" dataCellStyle="Standard"/>
    <tableColumn id="470" xr3:uid="{26B1F2C5-196E-460E-A8D0-5087154B313E}" uniqueName="470" name="Spalte449" queryTableFieldId="470" headerRowDxfId="415" dataDxfId="414" headerRowCellStyle="Standard" dataCellStyle="Standard"/>
    <tableColumn id="471" xr3:uid="{8810B350-8139-4107-B73B-D8A9541E847D}" uniqueName="471" name="Spalte450" queryTableFieldId="471" headerRowDxfId="413" dataDxfId="412" headerRowCellStyle="Standard" dataCellStyle="Standard"/>
    <tableColumn id="472" xr3:uid="{BF7CBD03-230F-418E-9CA4-5690E104BB14}" uniqueName="472" name="Spalte451" queryTableFieldId="472" headerRowDxfId="411" dataDxfId="410" headerRowCellStyle="Standard" dataCellStyle="Standard"/>
    <tableColumn id="473" xr3:uid="{79E70F39-542B-4EF0-8C81-4B809D64124B}" uniqueName="473" name="Spalte452" queryTableFieldId="473" headerRowDxfId="409" dataDxfId="408" headerRowCellStyle="Standard" dataCellStyle="Standard"/>
    <tableColumn id="474" xr3:uid="{7B0D6A9A-2FF0-4669-AB86-DE0E475E3DC9}" uniqueName="474" name="Spalte453" queryTableFieldId="474" headerRowDxfId="407" dataDxfId="406" headerRowCellStyle="Standard" dataCellStyle="Standard"/>
    <tableColumn id="475" xr3:uid="{F3E347B8-38F8-4C8A-8207-34371BA7C940}" uniqueName="475" name="Spalte454" queryTableFieldId="475" headerRowDxfId="405" dataDxfId="404" headerRowCellStyle="Standard" dataCellStyle="Standard"/>
    <tableColumn id="476" xr3:uid="{D38DDDF6-2C0D-407B-82E8-28E785AAA247}" uniqueName="476" name="Spalte455" queryTableFieldId="476" headerRowDxfId="403" dataDxfId="402" headerRowCellStyle="Standard" dataCellStyle="Standard"/>
    <tableColumn id="477" xr3:uid="{C91A9B67-FB4C-45F5-82F9-9837D2A62826}" uniqueName="477" name="Spalte456" queryTableFieldId="477" headerRowDxfId="401" dataDxfId="400" headerRowCellStyle="Standard" dataCellStyle="Standard"/>
    <tableColumn id="478" xr3:uid="{198E4299-9818-4940-B084-28302CCB39F5}" uniqueName="478" name="Spalte457" queryTableFieldId="478" headerRowDxfId="399" dataDxfId="398" headerRowCellStyle="Standard" dataCellStyle="Standard"/>
    <tableColumn id="479" xr3:uid="{2001354B-3811-4933-9C7D-5E0432016531}" uniqueName="479" name="Spalte458" queryTableFieldId="479" headerRowDxfId="397" dataDxfId="396" headerRowCellStyle="Standard" dataCellStyle="Standard"/>
    <tableColumn id="480" xr3:uid="{9B554CD5-39FA-4693-A167-32F0D022D7F1}" uniqueName="480" name="Spalte459" queryTableFieldId="480" headerRowDxfId="395" dataDxfId="394" headerRowCellStyle="Standard" dataCellStyle="Standard"/>
    <tableColumn id="481" xr3:uid="{9E8955FA-0702-4B3A-A51F-ED92FEFC5970}" uniqueName="481" name="Spalte460" queryTableFieldId="481" headerRowDxfId="393" dataDxfId="392" headerRowCellStyle="Standard" dataCellStyle="Standard"/>
    <tableColumn id="482" xr3:uid="{166E9977-8363-4FB7-8330-43CA85CE9C36}" uniqueName="482" name="Spalte461" queryTableFieldId="482" headerRowDxfId="391" dataDxfId="390" headerRowCellStyle="Standard" dataCellStyle="Standard"/>
    <tableColumn id="483" xr3:uid="{69ACAA49-9674-4886-A473-316E13331237}" uniqueName="483" name="Spalte462" queryTableFieldId="483" headerRowDxfId="389" dataDxfId="388" headerRowCellStyle="Standard" dataCellStyle="Standard"/>
    <tableColumn id="484" xr3:uid="{41E6470E-8650-4CA7-B4A6-250FF552874E}" uniqueName="484" name="Spalte463" queryTableFieldId="484" headerRowDxfId="387" dataDxfId="386" headerRowCellStyle="Standard" dataCellStyle="Standard"/>
    <tableColumn id="485" xr3:uid="{C2277581-AA7B-47E8-81E3-23180646651A}" uniqueName="485" name="Spalte464" queryTableFieldId="485" headerRowDxfId="385" dataDxfId="384" headerRowCellStyle="Standard" dataCellStyle="Standard"/>
    <tableColumn id="486" xr3:uid="{9FDA23BB-577A-456C-BA9C-BC92C197F928}" uniqueName="486" name="Spalte465" queryTableFieldId="486" headerRowDxfId="383" dataDxfId="382" headerRowCellStyle="Standard" dataCellStyle="Standard"/>
    <tableColumn id="487" xr3:uid="{0765D620-943D-43EE-BFDF-1E4CCBACAE4B}" uniqueName="487" name="Spalte466" queryTableFieldId="487" headerRowDxfId="381" dataDxfId="380" headerRowCellStyle="Standard" dataCellStyle="Standard"/>
    <tableColumn id="488" xr3:uid="{027C8E3F-0F5E-47FF-888E-840699B8B86C}" uniqueName="488" name="Spalte467" queryTableFieldId="488" headerRowDxfId="379" dataDxfId="378" headerRowCellStyle="Standard" dataCellStyle="Standard"/>
    <tableColumn id="489" xr3:uid="{6AC24792-0DAC-415C-9190-692FDA328112}" uniqueName="489" name="Spalte468" queryTableFieldId="489" headerRowDxfId="377" dataDxfId="376" headerRowCellStyle="Standard" dataCellStyle="Standard"/>
    <tableColumn id="490" xr3:uid="{16CFA21B-6502-4FEE-BDCC-2967A1BBEB48}" uniqueName="490" name="Spalte469" queryTableFieldId="490" headerRowDxfId="375" dataDxfId="374" headerRowCellStyle="Standard" dataCellStyle="Standard"/>
    <tableColumn id="491" xr3:uid="{B1634404-130D-4243-9109-2986CE811DE2}" uniqueName="491" name="Spalte470" queryTableFieldId="491" headerRowDxfId="373" dataDxfId="372" headerRowCellStyle="Standard" dataCellStyle="Standard"/>
    <tableColumn id="492" xr3:uid="{5907AC4B-B7DF-4FBE-8E73-61CF011B6563}" uniqueName="492" name="Spalte471" queryTableFieldId="492" headerRowDxfId="371" dataDxfId="370" headerRowCellStyle="Standard" dataCellStyle="Standard"/>
    <tableColumn id="493" xr3:uid="{AF7119F7-AC27-42FF-B84A-B16F084DA7F0}" uniqueName="493" name="Spalte472" queryTableFieldId="493" headerRowDxfId="369" dataDxfId="368" headerRowCellStyle="Standard" dataCellStyle="Standard"/>
    <tableColumn id="494" xr3:uid="{E8C40619-441C-4B0C-9118-644C91226F61}" uniqueName="494" name="Spalte473" queryTableFieldId="494" headerRowDxfId="367" dataDxfId="366" headerRowCellStyle="Standard" dataCellStyle="Standard"/>
    <tableColumn id="495" xr3:uid="{6A02DFB2-D26A-4223-997E-D2EE6B627C46}" uniqueName="495" name="Spalte474" queryTableFieldId="495" headerRowDxfId="365" dataDxfId="364" headerRowCellStyle="Standard" dataCellStyle="Standard"/>
    <tableColumn id="496" xr3:uid="{3F30D74B-F874-4A12-B5E5-FBEB41A610D3}" uniqueName="496" name="Spalte475" queryTableFieldId="496" headerRowDxfId="363" dataDxfId="362" headerRowCellStyle="Standard" dataCellStyle="Standard"/>
    <tableColumn id="497" xr3:uid="{7D772F86-901E-47DA-9F1D-2EF785028348}" uniqueName="497" name="Spalte476" queryTableFieldId="497" headerRowDxfId="361" dataDxfId="360" headerRowCellStyle="Standard" dataCellStyle="Standard"/>
    <tableColumn id="498" xr3:uid="{E43D3589-2D9A-49C7-ABAF-8731F5152BE6}" uniqueName="498" name="Spalte477" queryTableFieldId="498" headerRowDxfId="359" dataDxfId="358" headerRowCellStyle="Standard" dataCellStyle="Standard"/>
    <tableColumn id="499" xr3:uid="{B0DDBAEF-AF1F-470B-8670-5CACA3FB3A41}" uniqueName="499" name="Spalte478" queryTableFieldId="499" headerRowDxfId="357" dataDxfId="356" headerRowCellStyle="Standard" dataCellStyle="Standard"/>
    <tableColumn id="500" xr3:uid="{A8442754-6AFC-45E0-B393-BE8F003FA3EE}" uniqueName="500" name="Spalte479" queryTableFieldId="500" headerRowDxfId="355" dataDxfId="354" headerRowCellStyle="Standard" dataCellStyle="Standard"/>
    <tableColumn id="501" xr3:uid="{49371C47-02E8-4AED-BDCD-0A79E75C915B}" uniqueName="501" name="Spalte480" queryTableFieldId="501" headerRowDxfId="353" dataDxfId="352" headerRowCellStyle="Standard" dataCellStyle="Standard"/>
    <tableColumn id="502" xr3:uid="{6BC5E9AD-69BE-4441-9BC6-FDB3540B8487}" uniqueName="502" name="Spalte481" queryTableFieldId="502" headerRowDxfId="351" dataDxfId="350" headerRowCellStyle="Standard" dataCellStyle="Standard"/>
    <tableColumn id="503" xr3:uid="{CBDBCF6B-2F2B-4860-8102-6F7DFDADD96D}" uniqueName="503" name="Spalte482" queryTableFieldId="503" headerRowDxfId="349" dataDxfId="348" headerRowCellStyle="Standard" dataCellStyle="Standard"/>
    <tableColumn id="504" xr3:uid="{7758F99B-E1C5-4BB5-B632-0B9E9327C005}" uniqueName="504" name="Spalte483" queryTableFieldId="504" headerRowDxfId="347" dataDxfId="346" headerRowCellStyle="Standard" dataCellStyle="Standard"/>
    <tableColumn id="505" xr3:uid="{46A3FCEC-9E2E-4121-A041-2514EA281465}" uniqueName="505" name="Spalte484" queryTableFieldId="505" headerRowDxfId="345" dataDxfId="344" headerRowCellStyle="Standard" dataCellStyle="Standard"/>
    <tableColumn id="506" xr3:uid="{930B2898-AD25-47FE-9806-F167653CE3C1}" uniqueName="506" name="Spalte485" queryTableFieldId="506" headerRowDxfId="343" dataDxfId="342" headerRowCellStyle="Standard" dataCellStyle="Standard"/>
    <tableColumn id="507" xr3:uid="{6DA82CBB-991F-47EF-8C64-EC2F125B9AA3}" uniqueName="507" name="Spalte486" queryTableFieldId="507" headerRowDxfId="341" dataDxfId="340" headerRowCellStyle="Standard" dataCellStyle="Standard"/>
    <tableColumn id="508" xr3:uid="{772BB164-E5DF-4991-88F7-D3F4145C0EDF}" uniqueName="508" name="Spalte487" queryTableFieldId="508" headerRowDxfId="339" dataDxfId="338" headerRowCellStyle="Standard" dataCellStyle="Standard"/>
    <tableColumn id="509" xr3:uid="{85DC7F90-BD40-45C9-B956-65A6C834B678}" uniqueName="509" name="Spalte488" queryTableFieldId="509" headerRowDxfId="337" dataDxfId="336" headerRowCellStyle="Standard" dataCellStyle="Standard"/>
    <tableColumn id="510" xr3:uid="{BC4F32C7-AD3E-4E64-AAB0-6447D5011FEF}" uniqueName="510" name="Spalte489" queryTableFieldId="510" headerRowDxfId="335" dataDxfId="334" headerRowCellStyle="Standard" dataCellStyle="Standard"/>
    <tableColumn id="511" xr3:uid="{3D94A7B2-105C-45AD-BA42-2111D10519BF}" uniqueName="511" name="Spalte490" queryTableFieldId="511" headerRowDxfId="333" dataDxfId="332" headerRowCellStyle="Standard" dataCellStyle="Standard"/>
    <tableColumn id="512" xr3:uid="{9E414F02-6ADC-4CBD-BE15-C50D330CC5AC}" uniqueName="512" name="Spalte491" queryTableFieldId="512" headerRowDxfId="331" dataDxfId="330" headerRowCellStyle="Standard" dataCellStyle="Standard"/>
    <tableColumn id="513" xr3:uid="{D8510ECA-2B75-495E-8F3D-DD3177BFF043}" uniqueName="513" name="Spalte492" queryTableFieldId="513" headerRowDxfId="329" dataDxfId="328" headerRowCellStyle="Standard" dataCellStyle="Standard"/>
    <tableColumn id="514" xr3:uid="{A94D8577-350F-4C5A-B640-10B9B9EB8798}" uniqueName="514" name="Spalte493" queryTableFieldId="514" headerRowDxfId="327" dataDxfId="326" headerRowCellStyle="Standard" dataCellStyle="Standard"/>
    <tableColumn id="515" xr3:uid="{46251394-E03A-4C0A-9C70-75DE9AC4220C}" uniqueName="515" name="Spalte494" queryTableFieldId="515" headerRowDxfId="325" dataDxfId="324" headerRowCellStyle="Standard" dataCellStyle="Standard"/>
    <tableColumn id="516" xr3:uid="{C92113A4-4473-4540-8183-0813641BA31D}" uniqueName="516" name="Spalte495" queryTableFieldId="516" headerRowDxfId="323" dataDxfId="322" headerRowCellStyle="Standard" dataCellStyle="Standard"/>
    <tableColumn id="517" xr3:uid="{AB7D1758-C289-477F-8072-CBF67A118E9B}" uniqueName="517" name="Spalte496" queryTableFieldId="517" headerRowDxfId="321" dataDxfId="320" headerRowCellStyle="Standard" dataCellStyle="Standard"/>
    <tableColumn id="518" xr3:uid="{562E1525-C3E4-4B77-9414-C60051F11816}" uniqueName="518" name="Spalte497" queryTableFieldId="518" headerRowDxfId="319" dataDxfId="318" headerRowCellStyle="Standard" dataCellStyle="Standard"/>
    <tableColumn id="519" xr3:uid="{B703ED98-0ED6-4105-A6B1-926466392A9D}" uniqueName="519" name="Spalte498" queryTableFieldId="519" headerRowDxfId="317" dataDxfId="316" headerRowCellStyle="Standard" dataCellStyle="Standard"/>
    <tableColumn id="520" xr3:uid="{9015F7F0-4598-4EAA-A8DD-452C9256CC07}" uniqueName="520" name="Spalte499" queryTableFieldId="520" headerRowDxfId="315" dataDxfId="314" headerRowCellStyle="Standard" dataCellStyle="Standard"/>
    <tableColumn id="521" xr3:uid="{B556F541-3022-4827-99AC-F2C03BAE53B5}" uniqueName="521" name="Spalte500" queryTableFieldId="521" headerRowDxfId="313" dataDxfId="312" headerRowCellStyle="Standard" dataCellStyle="Standard"/>
    <tableColumn id="522" xr3:uid="{A95EDD41-1DD1-4C09-B685-5105B4FB5A6E}" uniqueName="522" name="Spalte501" queryTableFieldId="522" headerRowDxfId="311" dataDxfId="310" headerRowCellStyle="Standard" dataCellStyle="Standard"/>
    <tableColumn id="523" xr3:uid="{145B3F3F-A090-43F2-B9D7-F507EE629B26}" uniqueName="523" name="Spalte502" queryTableFieldId="523" headerRowDxfId="309" dataDxfId="308" headerRowCellStyle="Standard" dataCellStyle="Standard"/>
    <tableColumn id="524" xr3:uid="{A5C54333-6661-4E0C-97B1-D2F7CA5E884A}" uniqueName="524" name="Spalte503" queryTableFieldId="524" headerRowDxfId="307" dataDxfId="306" headerRowCellStyle="Standard" dataCellStyle="Standard"/>
    <tableColumn id="525" xr3:uid="{9235819A-FFF4-48A6-8AA7-EA71D82BC536}" uniqueName="525" name="Spalte504" queryTableFieldId="525" headerRowDxfId="305" dataDxfId="304" headerRowCellStyle="Standard" dataCellStyle="Standard"/>
    <tableColumn id="526" xr3:uid="{77F44C62-8F73-45AD-8941-6101CB34360D}" uniqueName="526" name="Spalte505" queryTableFieldId="526" headerRowDxfId="303" dataDxfId="302" headerRowCellStyle="Standard" dataCellStyle="Standard"/>
    <tableColumn id="527" xr3:uid="{4B464549-1C06-4154-83B7-F9924568C19D}" uniqueName="527" name="Spalte506" queryTableFieldId="527" headerRowDxfId="301" dataDxfId="300" headerRowCellStyle="Standard" dataCellStyle="Standard"/>
    <tableColumn id="528" xr3:uid="{54BEB4E6-35A7-4698-BDF7-24B6E4BE6165}" uniqueName="528" name="Spalte507" queryTableFieldId="528" headerRowDxfId="299" dataDxfId="298" headerRowCellStyle="Standard" dataCellStyle="Standard"/>
    <tableColumn id="529" xr3:uid="{FDABA8D3-7C86-428D-AE05-67DC63F31D3C}" uniqueName="529" name="Spalte508" queryTableFieldId="529" headerRowDxfId="297" dataDxfId="296" headerRowCellStyle="Standard" dataCellStyle="Standard"/>
    <tableColumn id="530" xr3:uid="{2B6506A4-0183-42DD-9639-0A70B727D0D0}" uniqueName="530" name="Spalte509" queryTableFieldId="530" headerRowDxfId="295" dataDxfId="294" headerRowCellStyle="Standard" dataCellStyle="Standard"/>
    <tableColumn id="531" xr3:uid="{309336CE-5C26-4E06-B3DE-939F7C818E8D}" uniqueName="531" name="Spalte510" queryTableFieldId="531" headerRowDxfId="293" dataDxfId="292" headerRowCellStyle="Standard" dataCellStyle="Standard"/>
    <tableColumn id="532" xr3:uid="{66097D46-3448-4F19-9C29-E979226EA02F}" uniqueName="532" name="Spalte511" queryTableFieldId="532" headerRowDxfId="291" dataDxfId="290" headerRowCellStyle="Standard" dataCellStyle="Standard"/>
    <tableColumn id="533" xr3:uid="{5DB5F8E8-9444-443E-8D0F-9A3B1E5DDECD}" uniqueName="533" name="Spalte512" queryTableFieldId="533" headerRowDxfId="289" dataDxfId="288" headerRowCellStyle="Standard" dataCellStyle="Standard"/>
    <tableColumn id="534" xr3:uid="{336E9E30-B55E-452B-8791-2A9149E2A212}" uniqueName="534" name="Spalte513" queryTableFieldId="534" headerRowDxfId="287" dataDxfId="286" headerRowCellStyle="Standard" dataCellStyle="Standard"/>
    <tableColumn id="535" xr3:uid="{6816CD91-545B-4041-9FF9-7D6F812C7065}" uniqueName="535" name="Spalte514" queryTableFieldId="535" headerRowDxfId="285" dataDxfId="284" headerRowCellStyle="Standard" dataCellStyle="Standard"/>
    <tableColumn id="536" xr3:uid="{D897ABB6-B9DA-4527-85D7-39CB3021EBBD}" uniqueName="536" name="Spalte515" queryTableFieldId="536" headerRowDxfId="283" dataDxfId="282" headerRowCellStyle="Standard" dataCellStyle="Standard"/>
    <tableColumn id="537" xr3:uid="{E877915B-C8A3-4056-877A-AADDE9DB9C60}" uniqueName="537" name="Spalte516" queryTableFieldId="537" headerRowDxfId="281" dataDxfId="280" headerRowCellStyle="Standard" dataCellStyle="Standard"/>
    <tableColumn id="538" xr3:uid="{C46A4205-9BDA-4D64-BB54-ACA13BA54469}" uniqueName="538" name="Spalte517" queryTableFieldId="538" headerRowDxfId="279" dataDxfId="278" headerRowCellStyle="Standard" dataCellStyle="Standard"/>
    <tableColumn id="539" xr3:uid="{4FA83B10-A069-4CD5-8E00-7877E8B3E81B}" uniqueName="539" name="Spalte518" queryTableFieldId="539" headerRowDxfId="277" dataDxfId="276" headerRowCellStyle="Standard" dataCellStyle="Standard"/>
    <tableColumn id="540" xr3:uid="{217ED4A6-1467-4D54-B56F-746354BFD385}" uniqueName="540" name="Spalte519" queryTableFieldId="540" headerRowDxfId="275" dataDxfId="274" headerRowCellStyle="Standard" dataCellStyle="Standard"/>
    <tableColumn id="541" xr3:uid="{9DE5AE94-C194-40D2-AF71-DB3C6F4B9ADC}" uniqueName="541" name="Spalte520" queryTableFieldId="541" headerRowDxfId="273" dataDxfId="272" headerRowCellStyle="Standard" dataCellStyle="Standard"/>
    <tableColumn id="542" xr3:uid="{DC846815-839A-48E9-8CF3-8A98DE34678D}" uniqueName="542" name="Spalte521" queryTableFieldId="542" headerRowDxfId="271" dataDxfId="270" headerRowCellStyle="Standard" dataCellStyle="Standard"/>
    <tableColumn id="543" xr3:uid="{514AD366-86C2-4BF9-9403-496006B9519F}" uniqueName="543" name="Spalte522" queryTableFieldId="543" headerRowDxfId="269" dataDxfId="268" headerRowCellStyle="Standard" dataCellStyle="Standard"/>
    <tableColumn id="544" xr3:uid="{0E5DD934-0E5C-4669-9CB3-B4244B43D7D1}" uniqueName="544" name="Spalte523" queryTableFieldId="544" headerRowDxfId="267" dataDxfId="266" headerRowCellStyle="Standard" dataCellStyle="Standard"/>
    <tableColumn id="545" xr3:uid="{1B8264F2-0DD9-4D1C-B90A-B01D1452F69D}" uniqueName="545" name="Spalte524" queryTableFieldId="545" headerRowDxfId="265" dataDxfId="264" headerRowCellStyle="Standard" dataCellStyle="Standard"/>
    <tableColumn id="546" xr3:uid="{BE9CB28A-B070-4203-B139-ED5BE1CA29CA}" uniqueName="546" name="Spalte525" queryTableFieldId="546" headerRowDxfId="263" dataDxfId="262" headerRowCellStyle="Standard" dataCellStyle="Standard"/>
    <tableColumn id="547" xr3:uid="{5ED7EE6A-607B-40FC-9BE7-05D944D65185}" uniqueName="547" name="Spalte526" queryTableFieldId="547" headerRowDxfId="261" dataDxfId="260" headerRowCellStyle="Standard" dataCellStyle="Standard"/>
    <tableColumn id="548" xr3:uid="{6CD12906-C410-438D-9C94-CC4BC6B4A849}" uniqueName="548" name="Spalte527" queryTableFieldId="548" headerRowDxfId="259" dataDxfId="258" headerRowCellStyle="Standard" dataCellStyle="Standard"/>
    <tableColumn id="549" xr3:uid="{06D77B20-5D9C-438B-8228-1274169428C2}" uniqueName="549" name="Spalte528" queryTableFieldId="549" headerRowDxfId="257" dataDxfId="256" headerRowCellStyle="Standard" dataCellStyle="Standard"/>
    <tableColumn id="550" xr3:uid="{A72EFF87-8DF3-4901-834F-633D74A324BE}" uniqueName="550" name="Spalte529" queryTableFieldId="550" headerRowDxfId="255" dataDxfId="254" headerRowCellStyle="Standard" dataCellStyle="Standard"/>
    <tableColumn id="551" xr3:uid="{9645C1D2-2543-4E98-A3AB-317020416DDD}" uniqueName="551" name="Spalte530" queryTableFieldId="551" headerRowDxfId="253" dataDxfId="252" headerRowCellStyle="Standard" dataCellStyle="Standard"/>
    <tableColumn id="552" xr3:uid="{F010ADA1-082D-4512-BBB0-C9BF83F4E80B}" uniqueName="552" name="Spalte531" queryTableFieldId="552" headerRowDxfId="251" dataDxfId="250" headerRowCellStyle="Standard" dataCellStyle="Standard"/>
    <tableColumn id="553" xr3:uid="{3EF1407C-1EF7-4B7C-B8F7-BB0B80D8F961}" uniqueName="553" name="Spalte532" queryTableFieldId="553" headerRowDxfId="249" dataDxfId="248" headerRowCellStyle="Standard" dataCellStyle="Standard"/>
    <tableColumn id="554" xr3:uid="{1EF548F1-799F-4483-B53D-BF3C22342B99}" uniqueName="554" name="Spalte533" queryTableFieldId="554" headerRowDxfId="247" dataDxfId="246" headerRowCellStyle="Standard" dataCellStyle="Standard"/>
    <tableColumn id="555" xr3:uid="{DC9BE66D-63D9-491D-83D1-A22DD25088E2}" uniqueName="555" name="Spalte534" queryTableFieldId="555" headerRowDxfId="245" dataDxfId="244" headerRowCellStyle="Standard" dataCellStyle="Standard"/>
    <tableColumn id="556" xr3:uid="{F47731CA-E1C6-4BF1-9BE4-9826F0CACA8F}" uniqueName="556" name="Spalte535" queryTableFieldId="556" headerRowDxfId="243" dataDxfId="242" headerRowCellStyle="Standard" dataCellStyle="Standard"/>
    <tableColumn id="557" xr3:uid="{E786A7FC-B549-449E-BF62-1FFEB7F65878}" uniqueName="557" name="Spalte536" queryTableFieldId="557" headerRowDxfId="241" dataDxfId="240" headerRowCellStyle="Standard" dataCellStyle="Standard"/>
    <tableColumn id="558" xr3:uid="{08472488-50FE-44C8-A235-6F95E5768239}" uniqueName="558" name="Spalte537" queryTableFieldId="558" headerRowDxfId="239" dataDxfId="238" headerRowCellStyle="Standard" dataCellStyle="Standard"/>
    <tableColumn id="559" xr3:uid="{B2CADF66-CC89-4AF8-862F-0E582D61FD14}" uniqueName="559" name="Spalte538" queryTableFieldId="559" headerRowDxfId="237" dataDxfId="236" headerRowCellStyle="Standard" dataCellStyle="Standard"/>
    <tableColumn id="560" xr3:uid="{E072FD86-D98F-40A7-AAFE-64CB36E2309A}" uniqueName="560" name="Spalte539" queryTableFieldId="560" headerRowDxfId="235" dataDxfId="234" headerRowCellStyle="Standard" dataCellStyle="Standard"/>
    <tableColumn id="561" xr3:uid="{EBF4C42F-7FD9-4121-97F8-B8676DFD17C2}" uniqueName="561" name="Spalte540" queryTableFieldId="561" headerRowDxfId="233" dataDxfId="232" headerRowCellStyle="Standard" dataCellStyle="Standard"/>
    <tableColumn id="562" xr3:uid="{B8B8F7D8-3D58-45AD-A1C7-A0C3B54CE04F}" uniqueName="562" name="Spalte541" queryTableFieldId="562" headerRowDxfId="231" dataDxfId="230" headerRowCellStyle="Standard" dataCellStyle="Standard"/>
    <tableColumn id="563" xr3:uid="{5E5A19B8-699F-4A5A-BE60-216EFC5BA19E}" uniqueName="563" name="Spalte542" queryTableFieldId="563" headerRowDxfId="229" dataDxfId="228" headerRowCellStyle="Standard" dataCellStyle="Standard"/>
    <tableColumn id="564" xr3:uid="{625BB810-9B34-4A48-BE89-E5763A651172}" uniqueName="564" name="Spalte543" queryTableFieldId="564" headerRowDxfId="227" dataDxfId="226" headerRowCellStyle="Standard" dataCellStyle="Standard"/>
    <tableColumn id="565" xr3:uid="{945A9634-73F3-42B0-BCCA-D0CBC26041D4}" uniqueName="565" name="Spalte544" queryTableFieldId="565" headerRowDxfId="225" dataDxfId="224" headerRowCellStyle="Standard" dataCellStyle="Standard"/>
    <tableColumn id="566" xr3:uid="{3219F014-5A0B-48C6-835C-B1C817CB05C7}" uniqueName="566" name="Spalte545" queryTableFieldId="566" headerRowDxfId="223" dataDxfId="222" headerRowCellStyle="Standard" dataCellStyle="Standard"/>
  </tableColumns>
  <tableStyleInfo name="TableStyleMedium7"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ool@grubenwassergeothermie.de" TargetMode="External"/><Relationship Id="rId1" Type="http://schemas.openxmlformats.org/officeDocument/2006/relationships/hyperlink" Target="https://creativecommons.org/licenses/by-nc-sa/4.0/deed.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hyperlink" Target="https://www.permabond.com/resource-center/surface-energy-wetability/"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assets.alfalaval.com/documents/p90bba538/alfa-laval-front-6-product-leaflet-de.pdf" TargetMode="External"/><Relationship Id="rId13" Type="http://schemas.openxmlformats.org/officeDocument/2006/relationships/hyperlink" Target="https://assets.alfalaval.com/documents/pf0bdb141/alfa-laval-hl12-product-leaflet-de-de.pdf" TargetMode="External"/><Relationship Id="rId3" Type="http://schemas.openxmlformats.org/officeDocument/2006/relationships/hyperlink" Target="https://assets.alfalaval.com/documents/pb4045041/alfa-laval-aq1a-product-leaflet-de.pdf" TargetMode="External"/><Relationship Id="rId7" Type="http://schemas.openxmlformats.org/officeDocument/2006/relationships/hyperlink" Target="https://assets.alfalaval.com/documents/p16c3248d/alfa-laval-base-10-product-leaflet-de.pdf" TargetMode="External"/><Relationship Id="rId12" Type="http://schemas.openxmlformats.org/officeDocument/2006/relationships/hyperlink" Target="https://assets.alfalaval.com/documents/p1fb839ed/alfa-laval-hl8-wg-product-leaflet-de-de.pdf" TargetMode="External"/><Relationship Id="rId2" Type="http://schemas.openxmlformats.org/officeDocument/2006/relationships/hyperlink" Target="https://assets.alfalaval.com/documents/p9bb66d19/alfa-laval-aq1l-product-leaflet-de.pdf" TargetMode="External"/><Relationship Id="rId1" Type="http://schemas.openxmlformats.org/officeDocument/2006/relationships/hyperlink" Target="https://assets.alfalaval.com/documents/pd680331d/alfa-laval-aq1-product-leaflet-de.pdf" TargetMode="External"/><Relationship Id="rId6" Type="http://schemas.openxmlformats.org/officeDocument/2006/relationships/hyperlink" Target="https://assets.alfalaval.com/documents/p3e2d6f1d/alfa-laval-base-6-product-leaflet-de.pdf" TargetMode="External"/><Relationship Id="rId11" Type="http://schemas.openxmlformats.org/officeDocument/2006/relationships/hyperlink" Target="https://assets.alfalaval.com/documents/p42dd1e47/alfa-laval-front-15-product-leaflet-de.pdf" TargetMode="External"/><Relationship Id="rId5" Type="http://schemas.openxmlformats.org/officeDocument/2006/relationships/hyperlink" Target="https://assets.alfalaval.com/documents/pd0ff28c8/alfa-laval-base-3-product-leaflet-de.pdf" TargetMode="External"/><Relationship Id="rId15" Type="http://schemas.openxmlformats.org/officeDocument/2006/relationships/hyperlink" Target="https://assets.alfalaval.com/documents/peb02769d/alfa-laval-h4-product-leaflet-de.pdf" TargetMode="External"/><Relationship Id="rId10" Type="http://schemas.openxmlformats.org/officeDocument/2006/relationships/hyperlink" Target="https://assets.alfalaval.com/documents/p660badf/alfa-laval-front-10-product-leaflet-de.pdf" TargetMode="External"/><Relationship Id="rId4" Type="http://schemas.openxmlformats.org/officeDocument/2006/relationships/hyperlink" Target="https://assets.alfalaval.com/documents/p7bfcd2a1/alfa-laval-base-11-product-leaflet-de.pdf" TargetMode="External"/><Relationship Id="rId9" Type="http://schemas.openxmlformats.org/officeDocument/2006/relationships/hyperlink" Target="https://assets.alfalaval.com/documents/pb75fa02d/alfa-laval-front-8-product-leaflet-de.pdf" TargetMode="External"/><Relationship Id="rId14" Type="http://schemas.openxmlformats.org/officeDocument/2006/relationships/hyperlink" Target="https://assets.alfalaval.com/documents/paa94fe2f/alfa-laval-hl8-product-leaflet-de-de.pdf" TargetMode="Externa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A775-0183-43E4-B5FF-BBB259044D7A}">
  <dimension ref="A1:Z109"/>
  <sheetViews>
    <sheetView tabSelected="1" topLeftCell="A58" zoomScale="120" zoomScaleNormal="120" workbookViewId="0">
      <selection activeCell="G97" sqref="G97:I97"/>
    </sheetView>
  </sheetViews>
  <sheetFormatPr baseColWidth="10" defaultRowHeight="12.75" x14ac:dyDescent="0.2"/>
  <cols>
    <col min="1" max="5" width="11.42578125" style="438"/>
    <col min="6" max="6" width="11.28515625" style="438" customWidth="1"/>
    <col min="7" max="26" width="11.42578125" style="438"/>
  </cols>
  <sheetData>
    <row r="1" spans="1:26" s="241" customFormat="1" x14ac:dyDescent="0.2">
      <c r="A1" s="438"/>
      <c r="B1" s="438"/>
      <c r="C1" s="438"/>
      <c r="D1" s="438"/>
      <c r="E1" s="438"/>
      <c r="F1" s="438"/>
      <c r="G1" s="438"/>
      <c r="H1" s="438"/>
      <c r="I1" s="438"/>
      <c r="J1" s="438"/>
      <c r="K1" s="438"/>
      <c r="L1" s="438"/>
      <c r="M1" s="438"/>
      <c r="N1" s="438"/>
      <c r="O1" s="438"/>
      <c r="P1" s="438"/>
      <c r="Q1" s="438"/>
      <c r="R1" s="438"/>
      <c r="S1" s="438"/>
      <c r="T1" s="438"/>
      <c r="U1" s="438"/>
      <c r="V1" s="438"/>
      <c r="W1" s="438"/>
      <c r="X1" s="438"/>
      <c r="Y1" s="438"/>
      <c r="Z1" s="438"/>
    </row>
    <row r="2" spans="1:26" ht="12.75" customHeight="1" x14ac:dyDescent="0.2">
      <c r="B2" s="570" t="s">
        <v>1068</v>
      </c>
      <c r="C2" s="571"/>
      <c r="D2" s="571"/>
      <c r="E2" s="571"/>
      <c r="F2" s="571"/>
      <c r="G2" s="571"/>
      <c r="H2" s="571"/>
      <c r="I2" s="571"/>
      <c r="J2" s="571"/>
      <c r="K2" s="571"/>
      <c r="L2" s="571"/>
      <c r="M2" s="572"/>
    </row>
    <row r="3" spans="1:26" ht="12.75" customHeight="1" x14ac:dyDescent="0.2">
      <c r="B3" s="573"/>
      <c r="C3" s="574"/>
      <c r="D3" s="574"/>
      <c r="E3" s="574"/>
      <c r="F3" s="574"/>
      <c r="G3" s="574"/>
      <c r="H3" s="574"/>
      <c r="I3" s="574"/>
      <c r="J3" s="574"/>
      <c r="K3" s="574"/>
      <c r="L3" s="574"/>
      <c r="M3" s="575"/>
    </row>
    <row r="4" spans="1:26" s="241" customFormat="1" ht="12.75" customHeight="1" x14ac:dyDescent="0.35">
      <c r="A4" s="438"/>
      <c r="B4" s="533"/>
      <c r="C4" s="534"/>
      <c r="D4" s="534"/>
      <c r="E4" s="534"/>
      <c r="F4" s="534"/>
      <c r="G4" s="534"/>
      <c r="H4" s="534"/>
      <c r="I4" s="534"/>
      <c r="J4" s="534"/>
      <c r="K4" s="534"/>
      <c r="L4" s="534"/>
      <c r="M4" s="534"/>
      <c r="N4" s="132"/>
      <c r="O4" s="438"/>
      <c r="P4" s="438"/>
      <c r="Q4" s="438"/>
      <c r="R4" s="438"/>
      <c r="S4" s="438"/>
      <c r="T4" s="438"/>
      <c r="U4" s="438"/>
      <c r="V4" s="438"/>
      <c r="W4" s="438"/>
      <c r="X4" s="438"/>
      <c r="Y4" s="438"/>
      <c r="Z4" s="438"/>
    </row>
    <row r="5" spans="1:26" ht="12.75" customHeight="1" x14ac:dyDescent="0.2">
      <c r="B5" s="563" t="s">
        <v>1071</v>
      </c>
      <c r="C5" s="564"/>
      <c r="D5" s="564"/>
      <c r="E5" s="564"/>
      <c r="F5" s="564"/>
      <c r="G5" s="564"/>
      <c r="H5" s="564"/>
      <c r="I5" s="564"/>
      <c r="J5" s="564"/>
      <c r="K5" s="564"/>
      <c r="L5" s="564"/>
      <c r="M5" s="565"/>
    </row>
    <row r="6" spans="1:26" ht="12.75" customHeight="1" x14ac:dyDescent="0.2">
      <c r="B6" s="566"/>
      <c r="C6" s="567"/>
      <c r="D6" s="567"/>
      <c r="E6" s="567"/>
      <c r="F6" s="567"/>
      <c r="G6" s="567"/>
      <c r="H6" s="567"/>
      <c r="I6" s="567"/>
      <c r="J6" s="567"/>
      <c r="K6" s="567"/>
      <c r="L6" s="567"/>
      <c r="M6" s="568"/>
    </row>
    <row r="8" spans="1:26" x14ac:dyDescent="0.2">
      <c r="B8" s="576" t="s">
        <v>1069</v>
      </c>
      <c r="C8" s="577"/>
      <c r="D8" s="577"/>
      <c r="E8" s="577"/>
      <c r="F8" s="577"/>
      <c r="G8" s="577"/>
      <c r="H8" s="577"/>
      <c r="I8" s="577"/>
      <c r="J8" s="577"/>
      <c r="K8" s="577"/>
      <c r="L8" s="577"/>
      <c r="M8" s="578"/>
    </row>
    <row r="9" spans="1:26" x14ac:dyDescent="0.2">
      <c r="B9" s="579"/>
      <c r="C9" s="580"/>
      <c r="D9" s="580"/>
      <c r="E9" s="580"/>
      <c r="F9" s="580"/>
      <c r="G9" s="580"/>
      <c r="H9" s="580"/>
      <c r="I9" s="580"/>
      <c r="J9" s="580"/>
      <c r="K9" s="580"/>
      <c r="L9" s="580"/>
      <c r="M9" s="581"/>
    </row>
    <row r="10" spans="1:26" x14ac:dyDescent="0.2">
      <c r="B10" s="579"/>
      <c r="C10" s="580"/>
      <c r="D10" s="580"/>
      <c r="E10" s="580"/>
      <c r="F10" s="580"/>
      <c r="G10" s="580"/>
      <c r="H10" s="580"/>
      <c r="I10" s="580"/>
      <c r="J10" s="580"/>
      <c r="K10" s="580"/>
      <c r="L10" s="580"/>
      <c r="M10" s="581"/>
    </row>
    <row r="11" spans="1:26" x14ac:dyDescent="0.2">
      <c r="B11" s="579"/>
      <c r="C11" s="580"/>
      <c r="D11" s="580"/>
      <c r="E11" s="580"/>
      <c r="F11" s="580"/>
      <c r="G11" s="580"/>
      <c r="H11" s="580"/>
      <c r="I11" s="580"/>
      <c r="J11" s="580"/>
      <c r="K11" s="580"/>
      <c r="L11" s="580"/>
      <c r="M11" s="581"/>
    </row>
    <row r="12" spans="1:26" x14ac:dyDescent="0.2">
      <c r="B12" s="579"/>
      <c r="C12" s="580"/>
      <c r="D12" s="580"/>
      <c r="E12" s="580"/>
      <c r="F12" s="580"/>
      <c r="G12" s="580"/>
      <c r="H12" s="580"/>
      <c r="I12" s="580"/>
      <c r="J12" s="580"/>
      <c r="K12" s="580"/>
      <c r="L12" s="580"/>
      <c r="M12" s="581"/>
    </row>
    <row r="13" spans="1:26" x14ac:dyDescent="0.2">
      <c r="B13" s="582"/>
      <c r="C13" s="583"/>
      <c r="D13" s="583"/>
      <c r="E13" s="583"/>
      <c r="F13" s="583"/>
      <c r="G13" s="583"/>
      <c r="H13" s="583"/>
      <c r="I13" s="583"/>
      <c r="J13" s="583"/>
      <c r="K13" s="583"/>
      <c r="L13" s="583"/>
      <c r="M13" s="584"/>
    </row>
    <row r="15" spans="1:26" x14ac:dyDescent="0.2">
      <c r="B15" s="563" t="s">
        <v>1070</v>
      </c>
      <c r="C15" s="564"/>
      <c r="D15" s="564"/>
      <c r="E15" s="564"/>
      <c r="F15" s="564"/>
      <c r="G15" s="564"/>
      <c r="H15" s="564"/>
      <c r="I15" s="564"/>
      <c r="J15" s="564"/>
      <c r="K15" s="564"/>
      <c r="L15" s="564"/>
      <c r="M15" s="565"/>
    </row>
    <row r="16" spans="1:26" x14ac:dyDescent="0.2">
      <c r="B16" s="566"/>
      <c r="C16" s="567"/>
      <c r="D16" s="567"/>
      <c r="E16" s="567"/>
      <c r="F16" s="567"/>
      <c r="G16" s="567"/>
      <c r="H16" s="567"/>
      <c r="I16" s="567"/>
      <c r="J16" s="567"/>
      <c r="K16" s="567"/>
      <c r="L16" s="567"/>
      <c r="M16" s="568"/>
    </row>
    <row r="17" spans="2:13" x14ac:dyDescent="0.2">
      <c r="B17" s="531"/>
      <c r="C17" s="531"/>
      <c r="D17" s="531"/>
      <c r="E17" s="531"/>
      <c r="F17" s="531"/>
      <c r="G17" s="531"/>
      <c r="H17" s="531"/>
      <c r="I17" s="531"/>
      <c r="J17" s="531"/>
      <c r="K17" s="531"/>
      <c r="L17" s="531"/>
      <c r="M17" s="531"/>
    </row>
    <row r="18" spans="2:13" x14ac:dyDescent="0.2">
      <c r="B18" s="527"/>
      <c r="C18" s="528"/>
      <c r="D18" s="528"/>
      <c r="E18" s="528"/>
      <c r="F18" s="528"/>
      <c r="G18" s="528"/>
      <c r="H18" s="528"/>
      <c r="I18" s="528"/>
      <c r="J18" s="528"/>
      <c r="K18" s="528"/>
      <c r="L18" s="528"/>
      <c r="M18" s="529"/>
    </row>
    <row r="19" spans="2:13" x14ac:dyDescent="0.2">
      <c r="B19" s="530"/>
      <c r="C19" s="531"/>
      <c r="D19" s="531"/>
      <c r="E19" s="531"/>
      <c r="F19" s="531"/>
      <c r="G19" s="531"/>
      <c r="H19" s="531"/>
      <c r="I19" s="531"/>
      <c r="J19" s="531"/>
      <c r="K19" s="531"/>
      <c r="L19" s="531"/>
      <c r="M19" s="532"/>
    </row>
    <row r="20" spans="2:13" x14ac:dyDescent="0.2">
      <c r="B20" s="530"/>
      <c r="C20" s="531"/>
      <c r="D20" s="531"/>
      <c r="E20" s="531"/>
      <c r="F20" s="531"/>
      <c r="G20" s="531"/>
      <c r="H20" s="531"/>
      <c r="I20" s="531"/>
      <c r="J20" s="531"/>
      <c r="K20" s="531"/>
      <c r="L20" s="531"/>
      <c r="M20" s="532"/>
    </row>
    <row r="21" spans="2:13" x14ac:dyDescent="0.2">
      <c r="B21" s="530"/>
      <c r="C21" s="531"/>
      <c r="D21" s="531"/>
      <c r="E21" s="531"/>
      <c r="F21" s="531"/>
      <c r="G21" s="531"/>
      <c r="H21" s="531"/>
      <c r="I21" s="531"/>
      <c r="J21" s="531"/>
      <c r="K21" s="531"/>
      <c r="L21" s="531"/>
      <c r="M21" s="532"/>
    </row>
    <row r="22" spans="2:13" x14ac:dyDescent="0.2">
      <c r="B22" s="530"/>
      <c r="C22" s="531"/>
      <c r="D22" s="531"/>
      <c r="E22" s="531"/>
      <c r="F22" s="531"/>
      <c r="G22" s="531"/>
      <c r="H22" s="531"/>
      <c r="I22" s="531"/>
      <c r="J22" s="531"/>
      <c r="K22" s="531"/>
      <c r="L22" s="531"/>
      <c r="M22" s="532"/>
    </row>
    <row r="23" spans="2:13" x14ac:dyDescent="0.2">
      <c r="B23" s="162"/>
      <c r="C23" s="132"/>
      <c r="D23" s="132"/>
      <c r="E23" s="132"/>
      <c r="F23" s="132"/>
      <c r="G23" s="132"/>
      <c r="H23" s="132"/>
      <c r="I23" s="132"/>
      <c r="J23" s="132"/>
      <c r="K23" s="132"/>
      <c r="L23" s="132"/>
      <c r="M23" s="122"/>
    </row>
    <row r="24" spans="2:13" x14ac:dyDescent="0.2">
      <c r="B24" s="162"/>
      <c r="C24" s="132"/>
      <c r="D24" s="132"/>
      <c r="E24" s="132"/>
      <c r="F24" s="132"/>
      <c r="G24" s="132"/>
      <c r="H24" s="132"/>
      <c r="I24" s="132"/>
      <c r="J24" s="132"/>
      <c r="K24" s="132"/>
      <c r="L24" s="132"/>
      <c r="M24" s="122"/>
    </row>
    <row r="25" spans="2:13" x14ac:dyDescent="0.2">
      <c r="B25" s="162"/>
      <c r="C25" s="132"/>
      <c r="D25" s="132"/>
      <c r="E25" s="132"/>
      <c r="F25" s="132"/>
      <c r="G25" s="132"/>
      <c r="H25" s="132"/>
      <c r="I25" s="132"/>
      <c r="J25" s="132"/>
      <c r="K25" s="132"/>
      <c r="L25" s="132"/>
      <c r="M25" s="122"/>
    </row>
    <row r="26" spans="2:13" x14ac:dyDescent="0.2">
      <c r="B26" s="162"/>
      <c r="C26" s="132"/>
      <c r="D26" s="132"/>
      <c r="E26" s="132"/>
      <c r="F26" s="132"/>
      <c r="G26" s="132"/>
      <c r="H26" s="132"/>
      <c r="I26" s="132"/>
      <c r="J26" s="132"/>
      <c r="K26" s="132"/>
      <c r="L26" s="132"/>
      <c r="M26" s="122"/>
    </row>
    <row r="27" spans="2:13" x14ac:dyDescent="0.2">
      <c r="B27" s="162"/>
      <c r="C27" s="132"/>
      <c r="D27" s="132"/>
      <c r="E27" s="132"/>
      <c r="F27" s="132"/>
      <c r="G27" s="132"/>
      <c r="H27" s="132"/>
      <c r="I27" s="132"/>
      <c r="J27" s="132"/>
      <c r="K27" s="132"/>
      <c r="L27" s="132"/>
      <c r="M27" s="122"/>
    </row>
    <row r="28" spans="2:13" x14ac:dyDescent="0.2">
      <c r="B28" s="162"/>
      <c r="C28" s="132"/>
      <c r="D28" s="132"/>
      <c r="E28" s="132"/>
      <c r="F28" s="132"/>
      <c r="G28" s="132"/>
      <c r="H28" s="132"/>
      <c r="I28" s="132"/>
      <c r="J28" s="132"/>
      <c r="K28" s="132"/>
      <c r="L28" s="132"/>
      <c r="M28" s="122"/>
    </row>
    <row r="29" spans="2:13" x14ac:dyDescent="0.2">
      <c r="B29" s="162"/>
      <c r="C29" s="132"/>
      <c r="D29" s="132"/>
      <c r="E29" s="132"/>
      <c r="F29" s="132"/>
      <c r="G29" s="132"/>
      <c r="H29" s="132"/>
      <c r="I29" s="132"/>
      <c r="J29" s="132"/>
      <c r="K29" s="132"/>
      <c r="L29" s="132"/>
      <c r="M29" s="122"/>
    </row>
    <row r="30" spans="2:13" x14ac:dyDescent="0.2">
      <c r="B30" s="366"/>
      <c r="C30" s="177"/>
      <c r="D30" s="177"/>
      <c r="E30" s="177"/>
      <c r="F30" s="177"/>
      <c r="G30" s="177"/>
      <c r="H30" s="177"/>
      <c r="I30" s="177"/>
      <c r="J30" s="177"/>
      <c r="K30" s="177"/>
      <c r="L30" s="177"/>
      <c r="M30" s="178"/>
    </row>
    <row r="31" spans="2:13" x14ac:dyDescent="0.2">
      <c r="B31" s="159"/>
      <c r="C31" s="176"/>
      <c r="D31" s="176"/>
      <c r="E31" s="176"/>
      <c r="F31" s="176"/>
      <c r="G31" s="176"/>
      <c r="H31" s="176"/>
      <c r="I31" s="176"/>
      <c r="J31" s="176"/>
      <c r="K31" s="176"/>
      <c r="L31" s="176"/>
      <c r="M31" s="120"/>
    </row>
    <row r="32" spans="2:13" x14ac:dyDescent="0.2">
      <c r="B32" s="162"/>
      <c r="C32" s="132"/>
      <c r="D32" s="132"/>
      <c r="E32" s="132"/>
      <c r="F32" s="132"/>
      <c r="G32" s="132"/>
      <c r="H32" s="132"/>
      <c r="I32" s="132"/>
      <c r="J32" s="132"/>
      <c r="K32" s="132"/>
      <c r="L32" s="132"/>
      <c r="M32" s="122"/>
    </row>
    <row r="33" spans="2:13" x14ac:dyDescent="0.2">
      <c r="B33" s="162"/>
      <c r="C33" s="132"/>
      <c r="D33" s="132"/>
      <c r="E33" s="132"/>
      <c r="F33" s="132"/>
      <c r="G33" s="132"/>
      <c r="H33" s="132"/>
      <c r="I33" s="132"/>
      <c r="J33" s="132"/>
      <c r="K33" s="132"/>
      <c r="L33" s="132"/>
      <c r="M33" s="122"/>
    </row>
    <row r="34" spans="2:13" x14ac:dyDescent="0.2">
      <c r="B34" s="162"/>
      <c r="C34" s="132"/>
      <c r="D34" s="132"/>
      <c r="E34" s="132"/>
      <c r="F34" s="132"/>
      <c r="G34" s="132"/>
      <c r="H34" s="132"/>
      <c r="I34" s="132"/>
      <c r="J34" s="132"/>
      <c r="K34" s="132"/>
      <c r="L34" s="132"/>
      <c r="M34" s="122"/>
    </row>
    <row r="35" spans="2:13" x14ac:dyDescent="0.2">
      <c r="B35" s="162"/>
      <c r="C35" s="132"/>
      <c r="D35" s="132"/>
      <c r="E35" s="132"/>
      <c r="F35" s="132"/>
      <c r="G35" s="132"/>
      <c r="H35" s="132"/>
      <c r="I35" s="132"/>
      <c r="J35" s="132"/>
      <c r="K35" s="132"/>
      <c r="L35" s="132"/>
      <c r="M35" s="122"/>
    </row>
    <row r="36" spans="2:13" x14ac:dyDescent="0.2">
      <c r="B36" s="366"/>
      <c r="C36" s="177"/>
      <c r="D36" s="177"/>
      <c r="E36" s="177"/>
      <c r="F36" s="177"/>
      <c r="G36" s="177"/>
      <c r="H36" s="177"/>
      <c r="I36" s="177"/>
      <c r="J36" s="177"/>
      <c r="K36" s="177"/>
      <c r="L36" s="177"/>
      <c r="M36" s="178"/>
    </row>
    <row r="38" spans="2:13" x14ac:dyDescent="0.2">
      <c r="B38" s="563" t="s">
        <v>1072</v>
      </c>
      <c r="C38" s="564"/>
      <c r="D38" s="564"/>
      <c r="E38" s="564"/>
      <c r="F38" s="564"/>
      <c r="G38" s="564"/>
      <c r="H38" s="564"/>
      <c r="I38" s="564"/>
      <c r="J38" s="564"/>
      <c r="K38" s="564"/>
      <c r="L38" s="564"/>
      <c r="M38" s="565"/>
    </row>
    <row r="39" spans="2:13" x14ac:dyDescent="0.2">
      <c r="B39" s="566"/>
      <c r="C39" s="567"/>
      <c r="D39" s="567"/>
      <c r="E39" s="567"/>
      <c r="F39" s="567"/>
      <c r="G39" s="567"/>
      <c r="H39" s="567"/>
      <c r="I39" s="567"/>
      <c r="J39" s="567"/>
      <c r="K39" s="567"/>
      <c r="L39" s="567"/>
      <c r="M39" s="568"/>
    </row>
    <row r="41" spans="2:13" ht="12.75" customHeight="1" x14ac:dyDescent="0.2">
      <c r="B41" s="556" t="s">
        <v>1073</v>
      </c>
      <c r="C41" s="557"/>
      <c r="D41" s="557"/>
      <c r="E41" s="557"/>
      <c r="F41" s="557"/>
      <c r="G41" s="557"/>
      <c r="H41" s="557"/>
      <c r="I41" s="557"/>
      <c r="J41" s="557"/>
      <c r="K41" s="557"/>
      <c r="L41" s="557"/>
      <c r="M41" s="558"/>
    </row>
    <row r="42" spans="2:13" x14ac:dyDescent="0.2">
      <c r="B42" s="559"/>
      <c r="C42" s="560"/>
      <c r="D42" s="560"/>
      <c r="E42" s="560"/>
      <c r="F42" s="560"/>
      <c r="G42" s="560"/>
      <c r="H42" s="560"/>
      <c r="I42" s="560"/>
      <c r="J42" s="560"/>
      <c r="K42" s="560"/>
      <c r="L42" s="560"/>
      <c r="M42" s="561"/>
    </row>
    <row r="43" spans="2:13" x14ac:dyDescent="0.2">
      <c r="B43" s="559"/>
      <c r="C43" s="560"/>
      <c r="D43" s="560"/>
      <c r="E43" s="560"/>
      <c r="F43" s="560"/>
      <c r="G43" s="560"/>
      <c r="H43" s="560"/>
      <c r="I43" s="560"/>
      <c r="J43" s="560"/>
      <c r="K43" s="560"/>
      <c r="L43" s="560"/>
      <c r="M43" s="561"/>
    </row>
    <row r="44" spans="2:13" x14ac:dyDescent="0.2">
      <c r="B44" s="559"/>
      <c r="C44" s="560"/>
      <c r="D44" s="560"/>
      <c r="E44" s="560"/>
      <c r="F44" s="560"/>
      <c r="G44" s="560"/>
      <c r="H44" s="560"/>
      <c r="I44" s="560"/>
      <c r="J44" s="560"/>
      <c r="K44" s="560"/>
      <c r="L44" s="560"/>
      <c r="M44" s="561"/>
    </row>
    <row r="45" spans="2:13" x14ac:dyDescent="0.2">
      <c r="B45" s="559"/>
      <c r="C45" s="560"/>
      <c r="D45" s="560"/>
      <c r="E45" s="560"/>
      <c r="F45" s="560"/>
      <c r="G45" s="560"/>
      <c r="H45" s="560"/>
      <c r="I45" s="560"/>
      <c r="J45" s="560"/>
      <c r="K45" s="560"/>
      <c r="L45" s="560"/>
      <c r="M45" s="561"/>
    </row>
    <row r="46" spans="2:13" x14ac:dyDescent="0.2">
      <c r="B46" s="559"/>
      <c r="C46" s="560"/>
      <c r="D46" s="560"/>
      <c r="E46" s="560"/>
      <c r="F46" s="560"/>
      <c r="G46" s="560"/>
      <c r="H46" s="560"/>
      <c r="I46" s="560"/>
      <c r="J46" s="560"/>
      <c r="K46" s="560"/>
      <c r="L46" s="560"/>
      <c r="M46" s="561"/>
    </row>
    <row r="47" spans="2:13" x14ac:dyDescent="0.2">
      <c r="B47" s="559"/>
      <c r="C47" s="560"/>
      <c r="D47" s="560"/>
      <c r="E47" s="560"/>
      <c r="F47" s="560"/>
      <c r="G47" s="560"/>
      <c r="H47" s="560"/>
      <c r="I47" s="560"/>
      <c r="J47" s="560"/>
      <c r="K47" s="560"/>
      <c r="L47" s="560"/>
      <c r="M47" s="561"/>
    </row>
    <row r="48" spans="2:13" x14ac:dyDescent="0.2">
      <c r="B48" s="559"/>
      <c r="C48" s="560"/>
      <c r="D48" s="560"/>
      <c r="E48" s="560"/>
      <c r="F48" s="560"/>
      <c r="G48" s="560"/>
      <c r="H48" s="560"/>
      <c r="I48" s="560"/>
      <c r="J48" s="560"/>
      <c r="K48" s="560"/>
      <c r="L48" s="560"/>
      <c r="M48" s="561"/>
    </row>
    <row r="49" spans="2:13" x14ac:dyDescent="0.2">
      <c r="B49" s="559"/>
      <c r="C49" s="560"/>
      <c r="D49" s="560"/>
      <c r="E49" s="560"/>
      <c r="F49" s="560"/>
      <c r="G49" s="560"/>
      <c r="H49" s="560"/>
      <c r="I49" s="560"/>
      <c r="J49" s="560"/>
      <c r="K49" s="560"/>
      <c r="L49" s="560"/>
      <c r="M49" s="561"/>
    </row>
    <row r="50" spans="2:13" x14ac:dyDescent="0.2">
      <c r="B50" s="559"/>
      <c r="C50" s="560"/>
      <c r="D50" s="560"/>
      <c r="E50" s="560"/>
      <c r="F50" s="560"/>
      <c r="G50" s="560"/>
      <c r="H50" s="560"/>
      <c r="I50" s="560"/>
      <c r="J50" s="560"/>
      <c r="K50" s="560"/>
      <c r="L50" s="560"/>
      <c r="M50" s="561"/>
    </row>
    <row r="51" spans="2:13" x14ac:dyDescent="0.2">
      <c r="B51" s="559"/>
      <c r="C51" s="560"/>
      <c r="D51" s="560"/>
      <c r="E51" s="560"/>
      <c r="F51" s="560"/>
      <c r="G51" s="560"/>
      <c r="H51" s="560"/>
      <c r="I51" s="560"/>
      <c r="J51" s="560"/>
      <c r="K51" s="560"/>
      <c r="L51" s="560"/>
      <c r="M51" s="561"/>
    </row>
    <row r="52" spans="2:13" x14ac:dyDescent="0.2">
      <c r="B52" s="559"/>
      <c r="C52" s="560"/>
      <c r="D52" s="560"/>
      <c r="E52" s="560"/>
      <c r="F52" s="560"/>
      <c r="G52" s="560"/>
      <c r="H52" s="560"/>
      <c r="I52" s="560"/>
      <c r="J52" s="560"/>
      <c r="K52" s="560"/>
      <c r="L52" s="560"/>
      <c r="M52" s="561"/>
    </row>
    <row r="53" spans="2:13" x14ac:dyDescent="0.2">
      <c r="B53" s="559"/>
      <c r="C53" s="560"/>
      <c r="D53" s="560"/>
      <c r="E53" s="560"/>
      <c r="F53" s="560"/>
      <c r="G53" s="560"/>
      <c r="H53" s="560"/>
      <c r="I53" s="560"/>
      <c r="J53" s="560"/>
      <c r="K53" s="560"/>
      <c r="L53" s="560"/>
      <c r="M53" s="561"/>
    </row>
    <row r="54" spans="2:13" x14ac:dyDescent="0.2">
      <c r="B54" s="559"/>
      <c r="C54" s="560"/>
      <c r="D54" s="560"/>
      <c r="E54" s="560"/>
      <c r="F54" s="560"/>
      <c r="G54" s="560"/>
      <c r="H54" s="560"/>
      <c r="I54" s="560"/>
      <c r="J54" s="560"/>
      <c r="K54" s="560"/>
      <c r="L54" s="560"/>
      <c r="M54" s="561"/>
    </row>
    <row r="55" spans="2:13" x14ac:dyDescent="0.2">
      <c r="B55" s="559"/>
      <c r="C55" s="560"/>
      <c r="D55" s="560"/>
      <c r="E55" s="560"/>
      <c r="F55" s="560"/>
      <c r="G55" s="560"/>
      <c r="H55" s="560"/>
      <c r="I55" s="560"/>
      <c r="J55" s="560"/>
      <c r="K55" s="560"/>
      <c r="L55" s="560"/>
      <c r="M55" s="561"/>
    </row>
    <row r="56" spans="2:13" x14ac:dyDescent="0.2">
      <c r="B56" s="559"/>
      <c r="C56" s="560"/>
      <c r="D56" s="560"/>
      <c r="E56" s="560"/>
      <c r="F56" s="560"/>
      <c r="G56" s="560"/>
      <c r="H56" s="560"/>
      <c r="I56" s="560"/>
      <c r="J56" s="560"/>
      <c r="K56" s="560"/>
      <c r="L56" s="560"/>
      <c r="M56" s="561"/>
    </row>
    <row r="57" spans="2:13" x14ac:dyDescent="0.2">
      <c r="B57" s="559"/>
      <c r="C57" s="560"/>
      <c r="D57" s="560"/>
      <c r="E57" s="560"/>
      <c r="F57" s="560"/>
      <c r="G57" s="560"/>
      <c r="H57" s="560"/>
      <c r="I57" s="560"/>
      <c r="J57" s="560"/>
      <c r="K57" s="560"/>
      <c r="L57" s="560"/>
      <c r="M57" s="561"/>
    </row>
    <row r="58" spans="2:13" x14ac:dyDescent="0.2">
      <c r="B58" s="559"/>
      <c r="C58" s="560"/>
      <c r="D58" s="560"/>
      <c r="E58" s="560"/>
      <c r="F58" s="560"/>
      <c r="G58" s="560"/>
      <c r="H58" s="560"/>
      <c r="I58" s="560"/>
      <c r="J58" s="560"/>
      <c r="K58" s="560"/>
      <c r="L58" s="560"/>
      <c r="M58" s="561"/>
    </row>
    <row r="59" spans="2:13" x14ac:dyDescent="0.2">
      <c r="B59" s="559"/>
      <c r="C59" s="560"/>
      <c r="D59" s="560"/>
      <c r="E59" s="560"/>
      <c r="F59" s="560"/>
      <c r="G59" s="560"/>
      <c r="H59" s="560"/>
      <c r="I59" s="560"/>
      <c r="J59" s="560"/>
      <c r="K59" s="560"/>
      <c r="L59" s="560"/>
      <c r="M59" s="561"/>
    </row>
    <row r="60" spans="2:13" x14ac:dyDescent="0.2">
      <c r="B60" s="559"/>
      <c r="C60" s="560"/>
      <c r="D60" s="560"/>
      <c r="E60" s="560"/>
      <c r="F60" s="560"/>
      <c r="G60" s="560"/>
      <c r="H60" s="560"/>
      <c r="I60" s="560"/>
      <c r="J60" s="560"/>
      <c r="K60" s="560"/>
      <c r="L60" s="560"/>
      <c r="M60" s="561"/>
    </row>
    <row r="61" spans="2:13" x14ac:dyDescent="0.2">
      <c r="B61" s="585"/>
      <c r="C61" s="586"/>
      <c r="D61" s="586"/>
      <c r="E61" s="586"/>
      <c r="F61" s="586"/>
      <c r="G61" s="586"/>
      <c r="H61" s="586"/>
      <c r="I61" s="586"/>
      <c r="J61" s="586"/>
      <c r="K61" s="586"/>
      <c r="L61" s="586"/>
      <c r="M61" s="587"/>
    </row>
    <row r="63" spans="2:13" x14ac:dyDescent="0.2">
      <c r="B63" s="563" t="s">
        <v>1074</v>
      </c>
      <c r="C63" s="564"/>
      <c r="D63" s="564"/>
      <c r="E63" s="564"/>
      <c r="F63" s="564"/>
      <c r="G63" s="564"/>
      <c r="H63" s="564"/>
      <c r="I63" s="564"/>
      <c r="J63" s="564"/>
      <c r="K63" s="564"/>
      <c r="L63" s="564"/>
      <c r="M63" s="565"/>
    </row>
    <row r="64" spans="2:13" x14ac:dyDescent="0.2">
      <c r="B64" s="566"/>
      <c r="C64" s="567"/>
      <c r="D64" s="567"/>
      <c r="E64" s="567"/>
      <c r="F64" s="567"/>
      <c r="G64" s="567"/>
      <c r="H64" s="567"/>
      <c r="I64" s="567"/>
      <c r="J64" s="567"/>
      <c r="K64" s="567"/>
      <c r="L64" s="567"/>
      <c r="M64" s="568"/>
    </row>
    <row r="66" spans="2:13" ht="12.75" customHeight="1" x14ac:dyDescent="0.2">
      <c r="B66" s="556" t="s">
        <v>1078</v>
      </c>
      <c r="C66" s="557"/>
      <c r="D66" s="557"/>
      <c r="E66" s="557"/>
      <c r="F66" s="557"/>
      <c r="G66" s="557"/>
      <c r="H66" s="557"/>
      <c r="I66" s="557"/>
      <c r="J66" s="557"/>
      <c r="K66" s="557"/>
      <c r="L66" s="557"/>
      <c r="M66" s="558"/>
    </row>
    <row r="67" spans="2:13" x14ac:dyDescent="0.2">
      <c r="B67" s="559"/>
      <c r="C67" s="560"/>
      <c r="D67" s="560"/>
      <c r="E67" s="560"/>
      <c r="F67" s="560"/>
      <c r="G67" s="560"/>
      <c r="H67" s="560"/>
      <c r="I67" s="560"/>
      <c r="J67" s="560"/>
      <c r="K67" s="560"/>
      <c r="L67" s="560"/>
      <c r="M67" s="561"/>
    </row>
    <row r="68" spans="2:13" x14ac:dyDescent="0.2">
      <c r="B68" s="559"/>
      <c r="C68" s="560"/>
      <c r="D68" s="560"/>
      <c r="E68" s="560"/>
      <c r="F68" s="560"/>
      <c r="G68" s="560"/>
      <c r="H68" s="560"/>
      <c r="I68" s="560"/>
      <c r="J68" s="560"/>
      <c r="K68" s="560"/>
      <c r="L68" s="560"/>
      <c r="M68" s="561"/>
    </row>
    <row r="69" spans="2:13" x14ac:dyDescent="0.2">
      <c r="B69" s="559"/>
      <c r="C69" s="560"/>
      <c r="D69" s="560"/>
      <c r="E69" s="560"/>
      <c r="F69" s="560"/>
      <c r="G69" s="560"/>
      <c r="H69" s="560"/>
      <c r="I69" s="560"/>
      <c r="J69" s="560"/>
      <c r="K69" s="560"/>
      <c r="L69" s="560"/>
      <c r="M69" s="561"/>
    </row>
    <row r="70" spans="2:13" x14ac:dyDescent="0.2">
      <c r="B70" s="559"/>
      <c r="C70" s="560"/>
      <c r="D70" s="560"/>
      <c r="E70" s="560"/>
      <c r="F70" s="560"/>
      <c r="G70" s="560"/>
      <c r="H70" s="560"/>
      <c r="I70" s="560"/>
      <c r="J70" s="560"/>
      <c r="K70" s="560"/>
      <c r="L70" s="560"/>
      <c r="M70" s="561"/>
    </row>
    <row r="71" spans="2:13" x14ac:dyDescent="0.2">
      <c r="B71" s="559"/>
      <c r="C71" s="560"/>
      <c r="D71" s="560"/>
      <c r="E71" s="560"/>
      <c r="F71" s="560"/>
      <c r="G71" s="560"/>
      <c r="H71" s="560"/>
      <c r="I71" s="560"/>
      <c r="J71" s="560"/>
      <c r="K71" s="560"/>
      <c r="L71" s="560"/>
      <c r="M71" s="561"/>
    </row>
    <row r="72" spans="2:13" x14ac:dyDescent="0.2">
      <c r="B72" s="559"/>
      <c r="C72" s="560"/>
      <c r="D72" s="560"/>
      <c r="E72" s="560"/>
      <c r="F72" s="560"/>
      <c r="G72" s="560"/>
      <c r="H72" s="560"/>
      <c r="I72" s="560"/>
      <c r="J72" s="560"/>
      <c r="K72" s="560"/>
      <c r="L72" s="560"/>
      <c r="M72" s="561"/>
    </row>
    <row r="73" spans="2:13" x14ac:dyDescent="0.2">
      <c r="B73" s="559"/>
      <c r="C73" s="560"/>
      <c r="D73" s="560"/>
      <c r="E73" s="560"/>
      <c r="F73" s="560"/>
      <c r="G73" s="560"/>
      <c r="H73" s="560"/>
      <c r="I73" s="560"/>
      <c r="J73" s="560"/>
      <c r="K73" s="560"/>
      <c r="L73" s="560"/>
      <c r="M73" s="561"/>
    </row>
    <row r="74" spans="2:13" x14ac:dyDescent="0.2">
      <c r="B74" s="559"/>
      <c r="C74" s="560"/>
      <c r="D74" s="560"/>
      <c r="E74" s="560"/>
      <c r="F74" s="560"/>
      <c r="G74" s="560"/>
      <c r="H74" s="560"/>
      <c r="I74" s="560"/>
      <c r="J74" s="560"/>
      <c r="K74" s="560"/>
      <c r="L74" s="560"/>
      <c r="M74" s="561"/>
    </row>
    <row r="75" spans="2:13" x14ac:dyDescent="0.2">
      <c r="B75" s="559"/>
      <c r="C75" s="560"/>
      <c r="D75" s="560"/>
      <c r="E75" s="560"/>
      <c r="F75" s="560"/>
      <c r="G75" s="560"/>
      <c r="H75" s="560"/>
      <c r="I75" s="560"/>
      <c r="J75" s="560"/>
      <c r="K75" s="560"/>
      <c r="L75" s="560"/>
      <c r="M75" s="561"/>
    </row>
    <row r="76" spans="2:13" ht="12.75" customHeight="1" x14ac:dyDescent="0.2">
      <c r="B76" s="562" t="s">
        <v>1081</v>
      </c>
      <c r="C76" s="550"/>
      <c r="D76" s="550"/>
      <c r="E76" s="550"/>
      <c r="F76" s="550"/>
      <c r="G76" s="550"/>
      <c r="H76" s="550"/>
      <c r="I76" s="550"/>
      <c r="J76" s="550"/>
      <c r="K76" s="545" t="str">
        <f>HYPERLINK("https://creativecommons.org/licenses/by-nc-sa/4.0/legalcode.de"," CC BY-NC-SA 4.0-Lizenz")</f>
        <v xml:space="preserve"> CC BY-NC-SA 4.0-Lizenz</v>
      </c>
      <c r="L76" s="537"/>
      <c r="M76" s="538"/>
    </row>
    <row r="77" spans="2:13" x14ac:dyDescent="0.2">
      <c r="B77" s="366"/>
      <c r="C77" s="542"/>
      <c r="D77" s="542"/>
      <c r="E77" s="542"/>
      <c r="F77" s="542"/>
      <c r="G77" s="542"/>
      <c r="H77" s="542"/>
      <c r="I77" s="542"/>
      <c r="J77" s="542"/>
      <c r="K77" s="542"/>
      <c r="L77" s="542"/>
      <c r="M77" s="543"/>
    </row>
    <row r="78" spans="2:13" x14ac:dyDescent="0.2">
      <c r="B78" s="535"/>
      <c r="C78" s="535"/>
      <c r="D78" s="535"/>
      <c r="E78" s="535"/>
      <c r="F78" s="535"/>
      <c r="G78" s="535"/>
      <c r="H78" s="535"/>
      <c r="I78" s="535"/>
      <c r="J78" s="535"/>
      <c r="L78" s="535"/>
      <c r="M78" s="535"/>
    </row>
    <row r="79" spans="2:13" x14ac:dyDescent="0.2">
      <c r="B79" s="563" t="s">
        <v>1075</v>
      </c>
      <c r="C79" s="564"/>
      <c r="D79" s="564"/>
      <c r="E79" s="564"/>
      <c r="F79" s="564"/>
      <c r="G79" s="564"/>
      <c r="H79" s="564"/>
      <c r="I79" s="564"/>
      <c r="J79" s="564"/>
      <c r="K79" s="564"/>
      <c r="L79" s="564"/>
      <c r="M79" s="565"/>
    </row>
    <row r="80" spans="2:13" x14ac:dyDescent="0.2">
      <c r="B80" s="566"/>
      <c r="C80" s="567"/>
      <c r="D80" s="567"/>
      <c r="E80" s="567"/>
      <c r="F80" s="567"/>
      <c r="G80" s="567"/>
      <c r="H80" s="567"/>
      <c r="I80" s="567"/>
      <c r="J80" s="567"/>
      <c r="K80" s="567"/>
      <c r="L80" s="567"/>
      <c r="M80" s="568"/>
    </row>
    <row r="81" spans="1:26" x14ac:dyDescent="0.2">
      <c r="B81" s="535"/>
      <c r="C81" s="535"/>
      <c r="D81" s="535"/>
      <c r="E81" s="535"/>
      <c r="F81" s="535"/>
      <c r="G81" s="535"/>
      <c r="H81" s="535"/>
      <c r="I81" s="535"/>
      <c r="J81" s="535"/>
      <c r="K81" s="535"/>
      <c r="L81" s="535"/>
      <c r="M81" s="535"/>
    </row>
    <row r="82" spans="1:26" ht="12.75" customHeight="1" x14ac:dyDescent="0.2">
      <c r="B82" s="569" t="s">
        <v>1076</v>
      </c>
      <c r="C82" s="569"/>
      <c r="D82" s="569"/>
      <c r="E82" s="569"/>
      <c r="F82" s="569"/>
      <c r="G82" s="569"/>
      <c r="H82" s="569"/>
      <c r="I82" s="569"/>
      <c r="J82" s="569"/>
      <c r="K82" s="569"/>
      <c r="L82" s="569"/>
      <c r="M82" s="569"/>
    </row>
    <row r="83" spans="1:26" x14ac:dyDescent="0.2">
      <c r="B83" s="569"/>
      <c r="C83" s="569"/>
      <c r="D83" s="569"/>
      <c r="E83" s="569"/>
      <c r="F83" s="569"/>
      <c r="G83" s="569"/>
      <c r="H83" s="569"/>
      <c r="I83" s="569"/>
      <c r="J83" s="569"/>
      <c r="K83" s="569"/>
      <c r="L83" s="569"/>
      <c r="M83" s="569"/>
    </row>
    <row r="84" spans="1:26" x14ac:dyDescent="0.2">
      <c r="B84" s="569"/>
      <c r="C84" s="569"/>
      <c r="D84" s="569"/>
      <c r="E84" s="569"/>
      <c r="F84" s="569"/>
      <c r="G84" s="569"/>
      <c r="H84" s="569"/>
      <c r="I84" s="569"/>
      <c r="J84" s="569"/>
      <c r="K84" s="569"/>
      <c r="L84" s="569"/>
      <c r="M84" s="569"/>
    </row>
    <row r="85" spans="1:26" x14ac:dyDescent="0.2">
      <c r="B85" s="569"/>
      <c r="C85" s="569"/>
      <c r="D85" s="569"/>
      <c r="E85" s="569"/>
      <c r="F85" s="569"/>
      <c r="G85" s="569"/>
      <c r="H85" s="569"/>
      <c r="I85" s="569"/>
      <c r="J85" s="569"/>
      <c r="K85" s="569"/>
      <c r="L85" s="569"/>
      <c r="M85" s="569"/>
    </row>
    <row r="86" spans="1:26" x14ac:dyDescent="0.2">
      <c r="B86" s="569"/>
      <c r="C86" s="569"/>
      <c r="D86" s="569"/>
      <c r="E86" s="569"/>
      <c r="F86" s="569"/>
      <c r="G86" s="569"/>
      <c r="H86" s="569"/>
      <c r="I86" s="569"/>
      <c r="J86" s="569"/>
      <c r="K86" s="569"/>
      <c r="L86" s="569"/>
      <c r="M86" s="569"/>
    </row>
    <row r="87" spans="1:26" x14ac:dyDescent="0.2">
      <c r="B87" s="569"/>
      <c r="C87" s="569"/>
      <c r="D87" s="569"/>
      <c r="E87" s="569"/>
      <c r="F87" s="569"/>
      <c r="G87" s="569"/>
      <c r="H87" s="569"/>
      <c r="I87" s="569"/>
      <c r="J87" s="569"/>
      <c r="K87" s="569"/>
      <c r="L87" s="569"/>
      <c r="M87" s="569"/>
    </row>
    <row r="89" spans="1:26" x14ac:dyDescent="0.2">
      <c r="B89" s="563" t="s">
        <v>1077</v>
      </c>
      <c r="C89" s="564"/>
      <c r="D89" s="564"/>
      <c r="E89" s="564"/>
      <c r="F89" s="564"/>
      <c r="G89" s="564"/>
      <c r="H89" s="564"/>
      <c r="I89" s="564"/>
      <c r="J89" s="564"/>
      <c r="K89" s="564"/>
      <c r="L89" s="564"/>
      <c r="M89" s="565"/>
    </row>
    <row r="90" spans="1:26" x14ac:dyDescent="0.2">
      <c r="B90" s="566"/>
      <c r="C90" s="567"/>
      <c r="D90" s="567"/>
      <c r="E90" s="567"/>
      <c r="F90" s="567"/>
      <c r="G90" s="567"/>
      <c r="H90" s="567"/>
      <c r="I90" s="567"/>
      <c r="J90" s="567"/>
      <c r="K90" s="567"/>
      <c r="L90" s="567"/>
      <c r="M90" s="568"/>
    </row>
    <row r="92" spans="1:26" s="241" customFormat="1" x14ac:dyDescent="0.2">
      <c r="A92" s="438"/>
      <c r="B92" s="159"/>
      <c r="C92" s="176"/>
      <c r="D92" s="176"/>
      <c r="E92" s="176"/>
      <c r="F92" s="176"/>
      <c r="G92" s="176"/>
      <c r="H92" s="176"/>
      <c r="I92" s="176"/>
      <c r="J92" s="176"/>
      <c r="K92" s="176"/>
      <c r="L92" s="176"/>
      <c r="M92" s="120"/>
      <c r="N92" s="438"/>
      <c r="O92" s="438"/>
      <c r="P92" s="438"/>
      <c r="Q92" s="438"/>
      <c r="R92" s="438"/>
      <c r="S92" s="438"/>
      <c r="T92" s="438"/>
      <c r="U92" s="438"/>
      <c r="V92" s="438"/>
      <c r="W92" s="438"/>
      <c r="X92" s="438"/>
      <c r="Y92" s="438"/>
      <c r="Z92" s="438"/>
    </row>
    <row r="93" spans="1:26" ht="12.75" customHeight="1" x14ac:dyDescent="0.2">
      <c r="B93" s="552" t="s">
        <v>1082</v>
      </c>
      <c r="C93" s="553"/>
      <c r="D93" s="553"/>
      <c r="E93" s="553"/>
      <c r="F93" s="553"/>
      <c r="G93" s="553"/>
      <c r="H93" s="553"/>
      <c r="I93" s="553"/>
      <c r="J93" s="553"/>
      <c r="K93" s="553"/>
      <c r="L93" s="553"/>
      <c r="M93" s="554"/>
    </row>
    <row r="94" spans="1:26" x14ac:dyDescent="0.2">
      <c r="B94" s="552"/>
      <c r="C94" s="553"/>
      <c r="D94" s="553"/>
      <c r="E94" s="553"/>
      <c r="F94" s="553"/>
      <c r="G94" s="553"/>
      <c r="H94" s="553"/>
      <c r="I94" s="553"/>
      <c r="J94" s="553"/>
      <c r="K94" s="553"/>
      <c r="L94" s="553"/>
      <c r="M94" s="554"/>
    </row>
    <row r="95" spans="1:26" x14ac:dyDescent="0.2">
      <c r="B95" s="552"/>
      <c r="C95" s="553"/>
      <c r="D95" s="553"/>
      <c r="E95" s="553"/>
      <c r="F95" s="553"/>
      <c r="G95" s="553"/>
      <c r="H95" s="553"/>
      <c r="I95" s="553"/>
      <c r="J95" s="553"/>
      <c r="K95" s="553"/>
      <c r="L95" s="553"/>
      <c r="M95" s="554"/>
    </row>
    <row r="96" spans="1:26" x14ac:dyDescent="0.2">
      <c r="B96" s="552"/>
      <c r="C96" s="553"/>
      <c r="D96" s="553"/>
      <c r="E96" s="553"/>
      <c r="F96" s="553"/>
      <c r="G96" s="553"/>
      <c r="H96" s="553"/>
      <c r="I96" s="553"/>
      <c r="J96" s="553"/>
      <c r="K96" s="553"/>
      <c r="L96" s="553"/>
      <c r="M96" s="554"/>
    </row>
    <row r="97" spans="2:18" x14ac:dyDescent="0.2">
      <c r="B97" s="546"/>
      <c r="C97" s="547"/>
      <c r="D97" s="547"/>
      <c r="E97" s="547"/>
      <c r="F97" s="549" t="s">
        <v>1083</v>
      </c>
      <c r="G97" s="555" t="s">
        <v>1084</v>
      </c>
      <c r="H97" s="555"/>
      <c r="I97" s="555"/>
      <c r="J97" s="547"/>
      <c r="K97" s="547"/>
      <c r="L97" s="547"/>
      <c r="M97" s="548"/>
    </row>
    <row r="98" spans="2:18" x14ac:dyDescent="0.2">
      <c r="B98" s="546"/>
      <c r="C98" s="547"/>
      <c r="D98" s="547"/>
      <c r="E98" s="547"/>
      <c r="F98" s="547"/>
      <c r="G98" s="547"/>
      <c r="H98" s="547"/>
      <c r="I98" s="547"/>
      <c r="J98" s="547"/>
      <c r="K98" s="547"/>
      <c r="L98" s="547"/>
      <c r="M98" s="548"/>
      <c r="N98" s="132"/>
    </row>
    <row r="99" spans="2:18" ht="12.75" customHeight="1" x14ac:dyDescent="0.2">
      <c r="B99" s="536"/>
      <c r="C99" s="537"/>
      <c r="D99" s="537"/>
      <c r="E99" s="550" t="s">
        <v>1080</v>
      </c>
      <c r="F99" s="550"/>
      <c r="G99" s="550"/>
      <c r="H99" s="550"/>
      <c r="I99" s="551" t="s">
        <v>1079</v>
      </c>
      <c r="J99" s="551"/>
      <c r="K99" s="551"/>
      <c r="L99" s="537"/>
      <c r="M99" s="538"/>
    </row>
    <row r="100" spans="2:18" x14ac:dyDescent="0.2">
      <c r="B100" s="536"/>
      <c r="C100" s="537"/>
      <c r="D100" s="537"/>
      <c r="E100" s="537"/>
      <c r="F100" s="537"/>
      <c r="G100" s="537"/>
      <c r="H100" s="537"/>
      <c r="I100" s="537"/>
      <c r="J100" s="537"/>
      <c r="K100" s="537"/>
      <c r="L100" s="537"/>
      <c r="M100" s="538"/>
    </row>
    <row r="101" spans="2:18" x14ac:dyDescent="0.2">
      <c r="B101" s="539"/>
      <c r="C101" s="540"/>
      <c r="D101" s="540"/>
      <c r="E101" s="540"/>
      <c r="F101" s="540"/>
      <c r="G101" s="540"/>
      <c r="H101" s="540"/>
      <c r="I101" s="540"/>
      <c r="J101" s="540"/>
      <c r="K101" s="540"/>
      <c r="L101" s="540"/>
      <c r="M101" s="541"/>
    </row>
    <row r="106" spans="2:18" x14ac:dyDescent="0.2">
      <c r="C106" s="132"/>
      <c r="D106" s="132"/>
      <c r="E106" s="544"/>
      <c r="F106" s="544"/>
      <c r="G106" s="544"/>
      <c r="H106" s="544"/>
      <c r="I106" s="544"/>
      <c r="J106" s="544"/>
      <c r="K106" s="544"/>
      <c r="L106" s="544"/>
      <c r="M106" s="544"/>
      <c r="N106" s="544"/>
      <c r="O106" s="544"/>
      <c r="P106" s="544"/>
      <c r="Q106" s="132"/>
      <c r="R106" s="132"/>
    </row>
    <row r="107" spans="2:18" x14ac:dyDescent="0.2">
      <c r="C107" s="132"/>
      <c r="D107" s="132"/>
      <c r="E107" s="132"/>
      <c r="F107" s="132"/>
      <c r="G107" s="132"/>
      <c r="H107" s="132"/>
      <c r="I107" s="132"/>
      <c r="J107" s="132"/>
      <c r="K107" s="132"/>
      <c r="L107" s="132"/>
      <c r="M107" s="132"/>
      <c r="N107" s="132"/>
      <c r="O107" s="132"/>
      <c r="P107" s="132"/>
      <c r="Q107" s="132"/>
      <c r="R107" s="132"/>
    </row>
    <row r="108" spans="2:18" x14ac:dyDescent="0.2">
      <c r="C108" s="132"/>
      <c r="D108" s="132"/>
      <c r="E108" s="132"/>
      <c r="F108" s="132"/>
      <c r="G108" s="132"/>
      <c r="H108" s="132"/>
      <c r="I108" s="132"/>
      <c r="J108" s="132"/>
      <c r="K108" s="132"/>
      <c r="L108" s="132"/>
      <c r="M108" s="132"/>
      <c r="N108" s="132"/>
      <c r="O108" s="132"/>
      <c r="P108" s="132"/>
      <c r="Q108" s="132"/>
      <c r="R108" s="132"/>
    </row>
    <row r="109" spans="2:18" x14ac:dyDescent="0.2">
      <c r="C109" s="132"/>
      <c r="D109" s="132"/>
      <c r="E109" s="132"/>
      <c r="F109" s="132"/>
      <c r="G109" s="132"/>
      <c r="H109" s="132"/>
      <c r="I109" s="132"/>
      <c r="J109" s="132"/>
      <c r="K109" s="132"/>
      <c r="L109" s="132"/>
      <c r="M109" s="132"/>
      <c r="N109" s="132"/>
      <c r="O109" s="132"/>
      <c r="P109" s="132"/>
      <c r="Q109" s="132"/>
      <c r="R109" s="132"/>
    </row>
  </sheetData>
  <sheetProtection algorithmName="SHA-512" hashValue="mledhrLM1k/I4s2kxBTe2uNYjSFaOKkkLaN8Mu29kwDM3FOvbzqXTQ/PWtNgcsRdFMhZgLGwY87vgSrK20pRlg==" saltValue="4iVYR9djbcO6nZ6oiNbZZQ==" spinCount="100000" sheet="1" objects="1" scenarios="1" selectLockedCells="1"/>
  <mergeCells count="16">
    <mergeCell ref="B2:M3"/>
    <mergeCell ref="B5:M6"/>
    <mergeCell ref="B63:M64"/>
    <mergeCell ref="B8:M13"/>
    <mergeCell ref="B15:M16"/>
    <mergeCell ref="B38:M39"/>
    <mergeCell ref="B41:M61"/>
    <mergeCell ref="E99:H99"/>
    <mergeCell ref="I99:K99"/>
    <mergeCell ref="B93:M96"/>
    <mergeCell ref="G97:I97"/>
    <mergeCell ref="B66:M75"/>
    <mergeCell ref="B76:J76"/>
    <mergeCell ref="B89:M90"/>
    <mergeCell ref="B79:M80"/>
    <mergeCell ref="B82:M87"/>
  </mergeCells>
  <hyperlinks>
    <hyperlink ref="I99:K99" r:id="rId1" display="CC BY-NC-SA 4.0-Lizenz" xr:uid="{506CC539-1798-447E-A982-2B2C54316F24}"/>
    <hyperlink ref="G97:I97" r:id="rId2" display="tool@grubenwassergeothermie.de" xr:uid="{7DA9B014-5A2D-462E-9EB8-E56D5556F985}"/>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D"/>
  </sheetPr>
  <dimension ref="A1:BG166"/>
  <sheetViews>
    <sheetView zoomScale="70" zoomScaleNormal="70" workbookViewId="0">
      <selection activeCell="P38" sqref="P38"/>
    </sheetView>
  </sheetViews>
  <sheetFormatPr baseColWidth="10" defaultColWidth="15.7109375" defaultRowHeight="12.75" x14ac:dyDescent="0.2"/>
  <cols>
    <col min="1" max="1" width="26.85546875" style="126" customWidth="1"/>
    <col min="2" max="2" width="21" style="126" customWidth="1"/>
    <col min="3" max="3" width="22.5703125" style="1" customWidth="1"/>
    <col min="4" max="4" width="22.7109375" style="1" customWidth="1"/>
    <col min="5" max="5" width="33" style="1" customWidth="1"/>
    <col min="6" max="6" width="22.7109375" style="1" customWidth="1"/>
    <col min="7" max="7" width="20.140625" style="1" customWidth="1"/>
    <col min="8" max="8" width="18.42578125" style="1" customWidth="1"/>
    <col min="9" max="9" width="25.28515625" style="1" customWidth="1"/>
    <col min="10" max="10" width="28.28515625" style="1" customWidth="1"/>
    <col min="11" max="11" width="31" style="1" customWidth="1"/>
    <col min="12" max="12" width="29.42578125" style="1" customWidth="1"/>
    <col min="13" max="13" width="18.85546875" style="1" customWidth="1"/>
    <col min="14" max="14" width="20.5703125" style="1" customWidth="1"/>
    <col min="15" max="15" width="28.42578125" style="1" customWidth="1"/>
    <col min="16" max="16" width="27.42578125" style="1" customWidth="1"/>
    <col min="17" max="17" width="15.7109375" style="1" customWidth="1"/>
    <col min="18" max="18" width="28.5703125" style="1" customWidth="1"/>
    <col min="19" max="19" width="28.28515625" style="1" customWidth="1"/>
    <col min="20" max="20" width="26.85546875" style="1" customWidth="1"/>
    <col min="21" max="21" width="17.85546875" style="1" customWidth="1"/>
    <col min="22" max="23" width="15.7109375" style="1"/>
    <col min="24" max="24" width="26" style="1" customWidth="1"/>
    <col min="25" max="25" width="15.7109375" style="1"/>
    <col min="26" max="59" width="15.7109375" style="116"/>
    <col min="60" max="16384" width="15.7109375" style="1"/>
  </cols>
  <sheetData>
    <row r="1" spans="1:28" s="116" customFormat="1" x14ac:dyDescent="0.2">
      <c r="A1" s="426"/>
      <c r="B1" s="260"/>
      <c r="C1" s="265"/>
      <c r="D1" s="265"/>
      <c r="E1" s="265"/>
      <c r="F1" s="265"/>
      <c r="G1" s="265"/>
      <c r="H1" s="266"/>
      <c r="I1" s="266"/>
      <c r="J1" s="266"/>
      <c r="K1" s="266"/>
      <c r="L1" s="266"/>
      <c r="M1" s="266"/>
      <c r="N1" s="266"/>
      <c r="O1" s="266"/>
      <c r="P1" s="266"/>
      <c r="Q1" s="266"/>
      <c r="R1" s="266"/>
      <c r="S1" s="266"/>
      <c r="T1" s="266"/>
      <c r="U1" s="266"/>
      <c r="V1" s="259"/>
      <c r="W1" s="259"/>
      <c r="X1" s="259"/>
    </row>
    <row r="2" spans="1:28" x14ac:dyDescent="0.2">
      <c r="A2" s="425"/>
      <c r="C2" s="588" t="s">
        <v>208</v>
      </c>
      <c r="D2" s="589"/>
      <c r="E2" s="589"/>
      <c r="F2" s="589"/>
      <c r="G2" s="590"/>
      <c r="H2" s="117"/>
      <c r="I2" s="117"/>
      <c r="J2" s="117"/>
      <c r="K2" s="117"/>
      <c r="L2" s="117"/>
      <c r="M2" s="117"/>
      <c r="N2" s="117"/>
      <c r="O2" s="117"/>
      <c r="P2" s="293"/>
      <c r="Q2" s="293"/>
      <c r="R2" s="116"/>
      <c r="S2" s="116"/>
      <c r="T2" s="116"/>
      <c r="U2" s="116"/>
      <c r="V2" s="259"/>
      <c r="W2" s="259"/>
      <c r="X2" s="259"/>
      <c r="Y2" s="116"/>
    </row>
    <row r="3" spans="1:28" x14ac:dyDescent="0.2">
      <c r="A3" s="425"/>
      <c r="B3" s="116"/>
      <c r="C3" s="606" t="s">
        <v>206</v>
      </c>
      <c r="D3" s="606"/>
      <c r="E3" s="454" t="b">
        <v>1</v>
      </c>
      <c r="F3" s="257"/>
      <c r="G3" s="258"/>
      <c r="H3" s="117"/>
      <c r="I3" s="117"/>
      <c r="J3" s="117"/>
      <c r="K3" s="117"/>
      <c r="L3" s="117"/>
      <c r="M3" s="117"/>
      <c r="N3" s="117"/>
      <c r="O3" s="117"/>
      <c r="P3" s="294"/>
      <c r="Q3" s="294"/>
      <c r="R3" s="116">
        <f>IF(E3=TRUE,1,2)</f>
        <v>1</v>
      </c>
      <c r="S3" s="116"/>
      <c r="T3" s="116"/>
      <c r="U3" s="116"/>
      <c r="V3" s="259"/>
      <c r="W3" s="259"/>
      <c r="X3" s="259"/>
      <c r="Y3" s="116"/>
    </row>
    <row r="4" spans="1:28" s="116" customFormat="1" x14ac:dyDescent="0.2">
      <c r="A4" s="125"/>
      <c r="G4" s="117"/>
      <c r="H4" s="117"/>
      <c r="V4" s="259"/>
      <c r="W4" s="259"/>
      <c r="X4" s="259"/>
    </row>
    <row r="5" spans="1:28" ht="12.75" customHeight="1" x14ac:dyDescent="0.2">
      <c r="A5" s="295"/>
      <c r="B5" s="116"/>
      <c r="C5" s="607" t="str">
        <f>IF(AND(E3=TRUE,OR(E12&lt;&gt;0,E13=1)),"Bitte Wärmeübertrager auswählen oder eigene Abmaße eintragen",IF(AND(E3=FALSE,E12&lt;&gt;0),"Bitte Wärmeübertrager auswählen oder eigene Abmaße eintragen","Wärmeübertrager definiert"))</f>
        <v>Wärmeübertrager definiert</v>
      </c>
      <c r="D5" s="607"/>
      <c r="E5" s="607"/>
      <c r="F5" s="607"/>
      <c r="G5" s="607"/>
      <c r="H5" s="608"/>
      <c r="I5" s="608"/>
      <c r="J5" s="608"/>
      <c r="K5" s="608"/>
      <c r="L5" s="125"/>
      <c r="M5" s="125"/>
      <c r="N5" s="125"/>
      <c r="O5" s="125"/>
      <c r="P5" s="125"/>
      <c r="Q5" s="125"/>
      <c r="R5" s="125"/>
      <c r="S5" s="116"/>
      <c r="T5" s="116"/>
      <c r="U5" s="116"/>
      <c r="V5" s="259"/>
      <c r="W5" s="259"/>
      <c r="X5" s="259"/>
      <c r="Y5" s="126"/>
      <c r="Z5" s="126"/>
      <c r="AA5" s="126"/>
      <c r="AB5" s="126"/>
    </row>
    <row r="6" spans="1:28" ht="15" x14ac:dyDescent="0.25">
      <c r="A6" s="295"/>
      <c r="B6" s="116"/>
      <c r="C6" s="114"/>
      <c r="D6" s="450" t="s">
        <v>1050</v>
      </c>
      <c r="E6" s="131" t="s">
        <v>207</v>
      </c>
      <c r="F6" s="119"/>
      <c r="G6" s="120"/>
      <c r="H6" s="316"/>
      <c r="I6" s="316"/>
      <c r="J6" s="316"/>
      <c r="K6" s="316"/>
      <c r="L6" s="125"/>
      <c r="M6" s="125"/>
      <c r="N6" s="125"/>
      <c r="O6" s="125"/>
      <c r="P6" s="125"/>
      <c r="Q6" s="125"/>
      <c r="R6" s="125"/>
      <c r="S6" s="116"/>
      <c r="T6" s="116"/>
      <c r="U6" s="116"/>
      <c r="V6" s="259"/>
      <c r="W6" s="259"/>
      <c r="X6" s="259"/>
      <c r="Y6" s="126"/>
      <c r="Z6" s="126"/>
      <c r="AA6" s="126"/>
      <c r="AB6" s="126"/>
    </row>
    <row r="7" spans="1:28" x14ac:dyDescent="0.2">
      <c r="A7" s="295"/>
      <c r="B7" s="116"/>
      <c r="C7" s="3" t="s">
        <v>140</v>
      </c>
      <c r="D7" s="451">
        <v>2.8</v>
      </c>
      <c r="E7" s="118">
        <f>VLOOKUP(D6,Waermeuebertrager!C5:H34,3,FALSE)</f>
        <v>0.496</v>
      </c>
      <c r="F7" s="121"/>
      <c r="G7" s="122"/>
      <c r="H7" s="316"/>
      <c r="I7" s="316"/>
      <c r="J7" s="316"/>
      <c r="K7" s="316"/>
      <c r="L7" s="125"/>
      <c r="M7" s="125"/>
      <c r="N7" s="125"/>
      <c r="O7" s="125"/>
      <c r="P7" s="125"/>
      <c r="Q7" s="125"/>
      <c r="R7" s="125"/>
      <c r="S7" s="116"/>
      <c r="T7" s="116"/>
      <c r="U7" s="116"/>
      <c r="V7" s="259"/>
      <c r="W7" s="259"/>
      <c r="X7" s="259"/>
      <c r="Y7" s="126"/>
      <c r="Z7" s="126"/>
      <c r="AA7" s="126"/>
      <c r="AB7" s="126"/>
    </row>
    <row r="8" spans="1:28" ht="12.75" customHeight="1" x14ac:dyDescent="0.2">
      <c r="A8" s="295"/>
      <c r="B8" s="116"/>
      <c r="C8" s="3" t="s">
        <v>139</v>
      </c>
      <c r="D8" s="451">
        <v>0.3</v>
      </c>
      <c r="E8" s="118">
        <f>VLOOKUP(D6,Waermeuebertrager!C5:H34,4,FALSE)</f>
        <v>0.496</v>
      </c>
      <c r="F8" s="121"/>
      <c r="G8" s="122"/>
      <c r="H8" s="316"/>
      <c r="I8" s="316"/>
      <c r="J8" s="316"/>
      <c r="K8" s="316"/>
      <c r="L8" s="125"/>
      <c r="M8" s="125"/>
      <c r="N8" s="125"/>
      <c r="O8" s="125"/>
      <c r="P8" s="125"/>
      <c r="Q8" s="125"/>
      <c r="R8" s="125"/>
      <c r="S8" s="116"/>
      <c r="T8" s="116"/>
      <c r="U8" s="116"/>
      <c r="V8" s="259"/>
      <c r="W8" s="259"/>
      <c r="X8" s="259"/>
      <c r="Y8" s="126"/>
      <c r="Z8" s="126" t="s">
        <v>120</v>
      </c>
      <c r="AA8" s="126">
        <v>1.03</v>
      </c>
      <c r="AB8" s="126"/>
    </row>
    <row r="9" spans="1:28" x14ac:dyDescent="0.2">
      <c r="A9" s="424"/>
      <c r="B9" s="116"/>
      <c r="C9" s="3" t="s">
        <v>142</v>
      </c>
      <c r="D9" s="452">
        <v>8.9999999999999993E-3</v>
      </c>
      <c r="E9" s="118">
        <f>VLOOKUP(D6,Waermeuebertrager!C5:H34,5,FALSE)</f>
        <v>8.9999999999999993E-3</v>
      </c>
      <c r="F9" s="121"/>
      <c r="G9" s="122"/>
      <c r="H9" s="316"/>
      <c r="I9" s="316"/>
      <c r="J9" s="316"/>
      <c r="K9" s="316"/>
      <c r="L9" s="125"/>
      <c r="M9" s="125"/>
      <c r="N9" s="125"/>
      <c r="O9" s="125"/>
      <c r="P9" s="125"/>
      <c r="Q9" s="125"/>
      <c r="R9" s="125"/>
      <c r="S9" s="116"/>
      <c r="T9" s="116"/>
      <c r="U9" s="116"/>
      <c r="V9" s="259"/>
      <c r="W9" s="259"/>
      <c r="X9" s="259"/>
      <c r="Y9" s="126"/>
      <c r="Z9" s="126" t="s">
        <v>6</v>
      </c>
      <c r="AA9" s="267">
        <f>D24</f>
        <v>12.2</v>
      </c>
      <c r="AB9" s="126"/>
    </row>
    <row r="10" spans="1:28" x14ac:dyDescent="0.2">
      <c r="A10" s="439"/>
      <c r="B10" s="116"/>
      <c r="C10" s="3" t="s">
        <v>141</v>
      </c>
      <c r="D10" s="452">
        <v>1.2999999999999999E-3</v>
      </c>
      <c r="E10" s="115">
        <f>VLOOKUP(D6,Waermeuebertrager!C5:H34,6,FALSE)</f>
        <v>1E-3</v>
      </c>
      <c r="F10" s="121"/>
      <c r="G10" s="122"/>
      <c r="H10" s="316"/>
      <c r="I10" s="316"/>
      <c r="J10" s="316"/>
      <c r="K10" s="316"/>
      <c r="L10" s="125"/>
      <c r="M10" s="125"/>
      <c r="N10" s="125"/>
      <c r="O10" s="125"/>
      <c r="P10" s="125"/>
      <c r="Q10" s="125"/>
      <c r="R10" s="125"/>
      <c r="S10" s="116"/>
      <c r="T10" s="116"/>
      <c r="U10" s="125"/>
      <c r="V10" s="259"/>
      <c r="W10" s="259"/>
      <c r="X10" s="259"/>
      <c r="Y10" s="126"/>
      <c r="Z10" s="126" t="s">
        <v>27</v>
      </c>
      <c r="AA10" s="126"/>
      <c r="AB10" s="126"/>
    </row>
    <row r="11" spans="1:28" ht="12.75" customHeight="1" x14ac:dyDescent="0.2">
      <c r="A11" s="439"/>
      <c r="B11" s="116"/>
      <c r="C11" s="127" t="str">
        <f>IF(E3=TRUE,"Plattenanzahl","")</f>
        <v>Plattenanzahl</v>
      </c>
      <c r="D11" s="453">
        <v>17</v>
      </c>
      <c r="E11" s="128">
        <f>D11</f>
        <v>17</v>
      </c>
      <c r="F11" s="121"/>
      <c r="G11" s="122"/>
      <c r="H11" s="316"/>
      <c r="I11" s="316"/>
      <c r="J11" s="316"/>
      <c r="K11" s="316"/>
      <c r="L11" s="125"/>
      <c r="M11" s="125"/>
      <c r="N11" s="125"/>
      <c r="O11" s="125"/>
      <c r="P11" s="125"/>
      <c r="Q11" s="125"/>
      <c r="R11" s="125"/>
      <c r="S11" s="96"/>
      <c r="T11" s="96"/>
      <c r="U11" s="96"/>
      <c r="V11" s="259"/>
      <c r="W11" s="259"/>
      <c r="X11" s="259"/>
      <c r="Y11" s="126"/>
      <c r="Z11" s="126"/>
      <c r="AA11" s="126"/>
      <c r="AB11" s="126"/>
    </row>
    <row r="12" spans="1:28" x14ac:dyDescent="0.2">
      <c r="A12" s="439"/>
      <c r="B12" s="116"/>
      <c r="C12" s="116"/>
      <c r="D12" s="116"/>
      <c r="E12" s="126">
        <f>IF(AND(E7&lt;&gt;0,E8&lt;&gt;0,E9&lt;&gt;0,E10&lt;&gt;0),0,1)</f>
        <v>0</v>
      </c>
      <c r="F12" s="121"/>
      <c r="G12" s="122"/>
      <c r="H12" s="316"/>
      <c r="I12" s="316"/>
      <c r="J12" s="316"/>
      <c r="K12" s="316"/>
      <c r="L12" s="125"/>
      <c r="M12" s="125"/>
      <c r="N12" s="125"/>
      <c r="O12" s="125"/>
      <c r="P12" s="125"/>
      <c r="Q12" s="125"/>
      <c r="R12" s="125"/>
      <c r="S12" s="95"/>
      <c r="T12" s="95"/>
      <c r="U12" s="95"/>
      <c r="V12" s="259"/>
      <c r="W12" s="259"/>
      <c r="X12" s="259"/>
      <c r="Y12" s="126"/>
      <c r="Z12" s="126"/>
      <c r="AA12" s="126"/>
      <c r="AB12" s="126"/>
    </row>
    <row r="13" spans="1:28" x14ac:dyDescent="0.2">
      <c r="A13" s="439" t="b">
        <v>1</v>
      </c>
      <c r="B13" s="116"/>
      <c r="C13" s="116"/>
      <c r="D13" s="116"/>
      <c r="E13" s="126">
        <f>IF(E11&lt;&gt;0,0,1)</f>
        <v>0</v>
      </c>
      <c r="F13" s="121"/>
      <c r="G13" s="122"/>
      <c r="H13" s="316"/>
      <c r="I13" s="125"/>
      <c r="J13" s="125"/>
      <c r="K13" s="125"/>
      <c r="L13" s="125"/>
      <c r="M13" s="125"/>
      <c r="N13" s="125"/>
      <c r="O13" s="125"/>
      <c r="P13" s="125"/>
      <c r="Q13" s="125"/>
      <c r="R13" s="125"/>
      <c r="S13" s="95"/>
      <c r="T13" s="95"/>
      <c r="U13" s="95"/>
      <c r="V13" s="259"/>
      <c r="W13" s="259"/>
      <c r="X13" s="259"/>
      <c r="Y13" s="126"/>
      <c r="Z13" s="126"/>
      <c r="AA13" s="126"/>
      <c r="AB13" s="126"/>
    </row>
    <row r="14" spans="1:28" x14ac:dyDescent="0.2">
      <c r="A14" s="439" t="b">
        <v>1</v>
      </c>
      <c r="C14" s="116"/>
      <c r="D14" s="116"/>
      <c r="E14" s="116"/>
      <c r="F14" s="123"/>
      <c r="G14" s="124"/>
      <c r="H14" s="125"/>
      <c r="I14" s="125"/>
      <c r="J14" s="125"/>
      <c r="K14" s="125"/>
      <c r="L14" s="125"/>
      <c r="M14" s="125"/>
      <c r="N14" s="125"/>
      <c r="O14" s="125"/>
      <c r="P14" s="125"/>
      <c r="Q14" s="125"/>
      <c r="R14" s="125"/>
      <c r="S14" s="95"/>
      <c r="T14" s="95"/>
      <c r="U14" s="95"/>
      <c r="V14" s="259"/>
      <c r="W14" s="259"/>
      <c r="X14" s="259"/>
      <c r="Y14" s="126"/>
      <c r="Z14" s="126"/>
      <c r="AA14" s="126"/>
      <c r="AB14" s="126"/>
    </row>
    <row r="15" spans="1:28" x14ac:dyDescent="0.2">
      <c r="A15" s="262"/>
      <c r="C15" s="116"/>
      <c r="D15" s="116"/>
      <c r="E15" s="116"/>
      <c r="F15" s="116"/>
      <c r="G15" s="116"/>
      <c r="H15" s="125"/>
      <c r="I15" s="125"/>
      <c r="J15" s="125"/>
      <c r="K15" s="125"/>
      <c r="L15" s="125"/>
      <c r="M15" s="125"/>
      <c r="N15" s="125"/>
      <c r="O15" s="125"/>
      <c r="P15" s="125"/>
      <c r="Q15" s="125"/>
      <c r="R15" s="125"/>
      <c r="S15" s="456"/>
      <c r="T15" s="456"/>
      <c r="U15" s="456"/>
      <c r="V15" s="259"/>
      <c r="W15" s="259"/>
      <c r="X15" s="259"/>
      <c r="Y15" s="116"/>
    </row>
    <row r="16" spans="1:28" x14ac:dyDescent="0.2">
      <c r="A16" s="262"/>
      <c r="C16" s="457"/>
      <c r="D16" s="612" t="s">
        <v>210</v>
      </c>
      <c r="E16" s="613"/>
      <c r="F16" s="614"/>
      <c r="G16" s="457"/>
      <c r="H16" s="599" t="s">
        <v>2</v>
      </c>
      <c r="I16" s="599"/>
      <c r="J16" s="599"/>
      <c r="K16" s="599"/>
      <c r="L16" s="599"/>
      <c r="M16" s="599"/>
      <c r="N16" s="599"/>
      <c r="O16" s="599"/>
      <c r="P16" s="599"/>
      <c r="Q16" s="599"/>
      <c r="R16" s="599"/>
      <c r="S16" s="599"/>
      <c r="T16" s="599"/>
      <c r="U16" s="599"/>
      <c r="V16" s="259"/>
      <c r="W16" s="259"/>
      <c r="X16" s="259"/>
      <c r="Y16" s="116"/>
    </row>
    <row r="17" spans="1:28" x14ac:dyDescent="0.2">
      <c r="A17" s="262"/>
      <c r="C17" s="458" t="s">
        <v>5</v>
      </c>
      <c r="D17" s="459" t="s">
        <v>6</v>
      </c>
      <c r="E17" s="459" t="s">
        <v>7</v>
      </c>
      <c r="F17" s="459" t="s">
        <v>122</v>
      </c>
      <c r="G17" s="458" t="s">
        <v>5</v>
      </c>
      <c r="H17" s="460" t="s">
        <v>8</v>
      </c>
      <c r="I17" s="460" t="s">
        <v>9</v>
      </c>
      <c r="J17" s="460" t="s">
        <v>10</v>
      </c>
      <c r="K17" s="460" t="s">
        <v>11</v>
      </c>
      <c r="L17" s="460" t="s">
        <v>12</v>
      </c>
      <c r="M17" s="460" t="s">
        <v>13</v>
      </c>
      <c r="N17" s="609" t="s">
        <v>214</v>
      </c>
      <c r="O17" s="610"/>
      <c r="P17" s="610"/>
      <c r="Q17" s="611"/>
      <c r="R17" s="599" t="s">
        <v>123</v>
      </c>
      <c r="S17" s="599"/>
      <c r="T17" s="599"/>
      <c r="U17" s="599"/>
      <c r="V17" s="116"/>
      <c r="W17" s="116"/>
      <c r="X17" s="259"/>
      <c r="Y17" s="116"/>
    </row>
    <row r="18" spans="1:28" x14ac:dyDescent="0.2">
      <c r="A18" s="262"/>
      <c r="C18" s="616"/>
      <c r="D18" s="617"/>
      <c r="E18" s="617"/>
      <c r="F18" s="618"/>
      <c r="G18" s="461"/>
      <c r="H18" s="462"/>
      <c r="I18" s="2"/>
      <c r="J18" s="2"/>
      <c r="K18" s="113"/>
      <c r="L18" s="113"/>
      <c r="M18" s="463"/>
      <c r="N18" s="113"/>
      <c r="O18" s="113"/>
      <c r="P18" s="113"/>
      <c r="Q18" s="113"/>
      <c r="R18" s="296"/>
      <c r="S18" s="296"/>
      <c r="T18" s="116"/>
      <c r="U18" s="116"/>
      <c r="V18" s="116"/>
      <c r="W18" s="116"/>
      <c r="X18" s="259"/>
      <c r="Y18" s="116"/>
    </row>
    <row r="19" spans="1:28" ht="12.75" customHeight="1" x14ac:dyDescent="0.2">
      <c r="A19" s="262"/>
      <c r="C19" s="464"/>
      <c r="D19" s="465"/>
      <c r="E19" s="466"/>
      <c r="F19" s="597" t="s">
        <v>121</v>
      </c>
      <c r="G19" s="464" t="s">
        <v>411</v>
      </c>
      <c r="H19" s="6">
        <v>9.5</v>
      </c>
      <c r="I19" s="7">
        <v>200</v>
      </c>
      <c r="J19" s="7">
        <v>10</v>
      </c>
      <c r="K19" s="7">
        <v>50</v>
      </c>
      <c r="L19" s="7">
        <v>200</v>
      </c>
      <c r="M19" s="7">
        <v>4000</v>
      </c>
      <c r="N19" s="600" t="s">
        <v>215</v>
      </c>
      <c r="O19" s="601"/>
      <c r="P19" s="601"/>
      <c r="Q19" s="602"/>
      <c r="R19" s="620" t="s">
        <v>215</v>
      </c>
      <c r="S19" s="620"/>
      <c r="T19" s="620"/>
      <c r="U19" s="620"/>
      <c r="V19" s="116"/>
      <c r="W19" s="116"/>
      <c r="X19" s="259"/>
      <c r="Y19" s="116"/>
    </row>
    <row r="20" spans="1:28" x14ac:dyDescent="0.2">
      <c r="A20" s="296"/>
      <c r="C20" s="464"/>
      <c r="D20" s="465"/>
      <c r="E20" s="466"/>
      <c r="F20" s="596"/>
      <c r="G20" s="464" t="s">
        <v>439</v>
      </c>
      <c r="H20" s="6">
        <v>6.5</v>
      </c>
      <c r="I20" s="7">
        <v>0</v>
      </c>
      <c r="J20" s="7">
        <v>0</v>
      </c>
      <c r="K20" s="7">
        <v>0</v>
      </c>
      <c r="L20" s="7">
        <v>0</v>
      </c>
      <c r="M20" s="7">
        <v>0</v>
      </c>
      <c r="N20" s="603"/>
      <c r="O20" s="604"/>
      <c r="P20" s="604"/>
      <c r="Q20" s="605"/>
      <c r="R20" s="620"/>
      <c r="S20" s="620"/>
      <c r="T20" s="620"/>
      <c r="U20" s="620"/>
      <c r="V20" s="116"/>
      <c r="W20" s="116"/>
      <c r="X20" s="259"/>
      <c r="Y20" s="116"/>
    </row>
    <row r="21" spans="1:28" s="116" customFormat="1" x14ac:dyDescent="0.2">
      <c r="A21" s="296"/>
      <c r="B21" s="126"/>
      <c r="C21" s="296"/>
      <c r="D21" s="467"/>
      <c r="E21" s="467"/>
      <c r="F21" s="467"/>
      <c r="G21" s="468"/>
      <c r="H21" s="467"/>
      <c r="I21" s="259"/>
      <c r="J21" s="259"/>
      <c r="K21" s="296"/>
      <c r="L21" s="296"/>
      <c r="M21" s="469"/>
      <c r="N21" s="296"/>
      <c r="O21" s="296"/>
      <c r="P21" s="296"/>
      <c r="Q21" s="296"/>
      <c r="R21" s="296"/>
      <c r="S21" s="296"/>
      <c r="X21" s="259"/>
      <c r="Y21" s="498"/>
      <c r="Z21" s="498"/>
      <c r="AA21" s="498"/>
      <c r="AB21" s="498"/>
    </row>
    <row r="22" spans="1:28" x14ac:dyDescent="0.2">
      <c r="A22" s="296"/>
      <c r="C22" s="470" t="s">
        <v>14</v>
      </c>
      <c r="D22" s="471"/>
      <c r="E22" s="471"/>
      <c r="F22" s="471"/>
      <c r="G22" s="472"/>
      <c r="H22" s="471"/>
      <c r="I22" s="12">
        <v>12.814366666666666</v>
      </c>
      <c r="J22" s="12">
        <v>1</v>
      </c>
      <c r="K22" s="12">
        <v>10.509977777777777</v>
      </c>
      <c r="L22" s="12">
        <v>3.8712777777777778</v>
      </c>
      <c r="M22" s="12">
        <v>1</v>
      </c>
      <c r="N22" s="473"/>
      <c r="O22" s="621" t="s">
        <v>288</v>
      </c>
      <c r="P22" s="622"/>
      <c r="Q22" s="623"/>
      <c r="R22" s="474"/>
      <c r="S22" s="619" t="s">
        <v>287</v>
      </c>
      <c r="T22" s="619"/>
      <c r="U22" s="619"/>
      <c r="V22" s="116"/>
      <c r="W22" s="116"/>
      <c r="X22" s="259"/>
      <c r="Y22" s="498"/>
      <c r="Z22" s="498"/>
      <c r="AA22" s="498"/>
      <c r="AB22" s="498"/>
    </row>
    <row r="23" spans="1:28" x14ac:dyDescent="0.2">
      <c r="A23" s="296"/>
      <c r="C23" s="470" t="s">
        <v>15</v>
      </c>
      <c r="D23" s="475" t="str">
        <f>IF(D24&gt;0,"Wert vorhanden",IF(D24&lt;0,"Wert über 0 eingeben","Wert eingeben"))</f>
        <v>Wert vorhanden</v>
      </c>
      <c r="E23" s="475" t="str">
        <f>IF(E24&gt;0,"Wert vorhanden",IF(E24&lt;0,"Wert über 0 eingeben","Wert eingeben"))</f>
        <v>Wert vorhanden</v>
      </c>
      <c r="F23" s="475" t="str">
        <f>IF(F24&gt;0,"Wert vorhanden",IF(F24&lt;0,"Wert über 0 eingeben","Wert eingeben"))</f>
        <v>Wert vorhanden</v>
      </c>
      <c r="G23" s="476"/>
      <c r="H23" s="475" t="str">
        <f t="shared" ref="H23:N23" si="0">IF(H24&gt;0,"Wert vorhanden",IF(H24&lt;=0,"Wert über 0 eingeben","Wert eingeben"))</f>
        <v>Wert vorhanden</v>
      </c>
      <c r="I23" s="475" t="str">
        <f t="shared" si="0"/>
        <v>Wert vorhanden</v>
      </c>
      <c r="J23" s="475" t="str">
        <f t="shared" si="0"/>
        <v>Wert vorhanden</v>
      </c>
      <c r="K23" s="475" t="str">
        <f t="shared" si="0"/>
        <v>Wert vorhanden</v>
      </c>
      <c r="L23" s="475" t="str">
        <f t="shared" si="0"/>
        <v>Wert vorhanden</v>
      </c>
      <c r="M23" s="475" t="str">
        <f t="shared" si="0"/>
        <v>Wert vorhanden</v>
      </c>
      <c r="N23" s="475" t="str">
        <f t="shared" si="0"/>
        <v>Wert vorhanden</v>
      </c>
      <c r="O23" s="473" t="s">
        <v>233</v>
      </c>
      <c r="P23" s="473" t="s">
        <v>145</v>
      </c>
      <c r="Q23" s="473" t="s">
        <v>146</v>
      </c>
      <c r="R23" s="475" t="str">
        <f>IF(AND(R24&gt;0,R24&lt;=R27),"Wert vorhanden",IF(R24&lt;0,"Wert über 0 eingeben",IF(R24&gt;R27,"Wert über maximaler Löslichkeit","Wert eingeben")))</f>
        <v>Wert vorhanden</v>
      </c>
      <c r="S23" s="460" t="s">
        <v>233</v>
      </c>
      <c r="T23" s="460" t="s">
        <v>145</v>
      </c>
      <c r="U23" s="460" t="s">
        <v>146</v>
      </c>
      <c r="V23" s="116"/>
      <c r="W23" s="116"/>
      <c r="X23" s="259"/>
      <c r="Y23" s="498"/>
      <c r="Z23" s="498"/>
      <c r="AA23" s="498"/>
      <c r="AB23" s="498"/>
    </row>
    <row r="24" spans="1:28" x14ac:dyDescent="0.2">
      <c r="A24" s="296"/>
      <c r="C24" s="470" t="s">
        <v>0</v>
      </c>
      <c r="D24" s="13">
        <v>12.2</v>
      </c>
      <c r="E24" s="14">
        <v>300</v>
      </c>
      <c r="F24" s="97">
        <v>1.01325</v>
      </c>
      <c r="G24" s="455"/>
      <c r="H24" s="11">
        <v>7.61</v>
      </c>
      <c r="I24" s="15">
        <v>690</v>
      </c>
      <c r="J24" s="15">
        <v>12</v>
      </c>
      <c r="K24" s="15">
        <v>70</v>
      </c>
      <c r="L24" s="15">
        <v>20</v>
      </c>
      <c r="M24" s="15">
        <v>100</v>
      </c>
      <c r="N24" s="10">
        <v>2</v>
      </c>
      <c r="O24" s="477">
        <f>Zwischenrechnungen!B11</f>
        <v>2</v>
      </c>
      <c r="P24" s="477">
        <f>Zwischenrechnungen!D11</f>
        <v>2.0346491575033618</v>
      </c>
      <c r="Q24" s="477">
        <f>Zwischenrechnungen!E11</f>
        <v>1.974685547029507</v>
      </c>
      <c r="R24" s="98">
        <v>5</v>
      </c>
      <c r="S24" s="478">
        <f>Zwischenrechnungen!F27</f>
        <v>9.7553890324246037E-2</v>
      </c>
      <c r="T24" s="478">
        <f>Zwischenrechnungen!D28</f>
        <v>8.8022586747396422E-2</v>
      </c>
      <c r="U24" s="478">
        <f>Zwischenrechnungen!D29</f>
        <v>0.10814662967119883</v>
      </c>
      <c r="V24" s="116"/>
      <c r="W24" s="116"/>
      <c r="X24" s="259"/>
      <c r="Y24" s="498"/>
      <c r="Z24" s="625"/>
      <c r="AA24" s="625"/>
      <c r="AB24" s="498"/>
    </row>
    <row r="25" spans="1:28" ht="12.75" customHeight="1" x14ac:dyDescent="0.2">
      <c r="A25" s="296"/>
      <c r="C25" s="479"/>
      <c r="D25" s="626" t="s">
        <v>119</v>
      </c>
      <c r="E25" s="627"/>
      <c r="F25" s="480"/>
      <c r="G25" s="480"/>
      <c r="H25" s="472"/>
      <c r="I25" s="636" t="s">
        <v>224</v>
      </c>
      <c r="J25" s="636"/>
      <c r="K25" s="636"/>
      <c r="L25" s="636"/>
      <c r="M25" s="636"/>
      <c r="N25" s="472"/>
      <c r="O25" s="472"/>
      <c r="P25" s="472"/>
      <c r="Q25" s="472"/>
      <c r="R25" s="634" t="s">
        <v>124</v>
      </c>
      <c r="S25" s="481">
        <f>0.98692326671601*S24</f>
        <v>9.627820411966026E-2</v>
      </c>
      <c r="T25" s="481">
        <f>Zwischenrechnungen!F28</f>
        <v>8.6871538857533848E-2</v>
      </c>
      <c r="U25" s="481">
        <f>Zwischenrechnungen!F29</f>
        <v>0.10673242503942612</v>
      </c>
      <c r="V25" s="116"/>
      <c r="W25" s="116"/>
      <c r="X25" s="259"/>
      <c r="Y25" s="498"/>
      <c r="Z25" s="498"/>
      <c r="AA25" s="498"/>
      <c r="AB25" s="498"/>
    </row>
    <row r="26" spans="1:28" x14ac:dyDescent="0.2">
      <c r="A26" s="296"/>
      <c r="C26" s="470" t="s">
        <v>114</v>
      </c>
      <c r="D26" s="482" t="s">
        <v>118</v>
      </c>
      <c r="E26" s="505">
        <v>6.2</v>
      </c>
      <c r="F26" s="483"/>
      <c r="G26" s="483"/>
      <c r="H26" s="484"/>
      <c r="I26" s="636"/>
      <c r="J26" s="636"/>
      <c r="K26" s="636"/>
      <c r="L26" s="636"/>
      <c r="M26" s="636"/>
      <c r="N26" s="484"/>
      <c r="O26" s="484"/>
      <c r="P26" s="484"/>
      <c r="Q26" s="484"/>
      <c r="R26" s="635"/>
      <c r="S26" s="485"/>
      <c r="T26" s="485"/>
      <c r="U26" s="485"/>
      <c r="V26" s="116"/>
      <c r="W26" s="116"/>
      <c r="X26" s="259"/>
      <c r="Y26" s="498"/>
      <c r="Z26" s="498"/>
      <c r="AA26" s="498"/>
      <c r="AB26" s="498"/>
    </row>
    <row r="27" spans="1:28" x14ac:dyDescent="0.2">
      <c r="A27" s="296"/>
      <c r="C27" s="470" t="s">
        <v>113</v>
      </c>
      <c r="D27" s="482" t="s">
        <v>118</v>
      </c>
      <c r="E27" s="505">
        <v>5</v>
      </c>
      <c r="F27" s="483"/>
      <c r="G27" s="483"/>
      <c r="H27" s="484"/>
      <c r="I27" s="636"/>
      <c r="J27" s="636"/>
      <c r="K27" s="636"/>
      <c r="L27" s="636"/>
      <c r="M27" s="636"/>
      <c r="N27" s="484"/>
      <c r="O27" s="484"/>
      <c r="P27" s="484"/>
      <c r="Q27" s="484"/>
      <c r="R27" s="486">
        <f t="array" ref="R27">INDEX('Löslichkeitstabelle-Wasser-I'!A5:UT86,MATCH(Eingabe!D24,Löslichkeitstabelle_Wasser_I[[#All],[Column1]],1),MATCH(Eingabe!F24,'Löslichkeitstabelle-Wasser-I'!B4:UT4,1))</f>
        <v>10.83</v>
      </c>
      <c r="S27" s="487">
        <f>Zwischenrechnungen!D35</f>
        <v>0.21410147431767823</v>
      </c>
      <c r="T27" s="487">
        <f>Zwischenrechnungen!D36</f>
        <v>0.19065692289486066</v>
      </c>
      <c r="U27" s="487">
        <f>Zwischenrechnungen!D37</f>
        <v>0.23424559986781668</v>
      </c>
      <c r="V27" s="116"/>
      <c r="W27" s="116"/>
      <c r="X27" s="259"/>
      <c r="Y27" s="498"/>
      <c r="Z27" s="498"/>
      <c r="AA27" s="498"/>
      <c r="AB27" s="498"/>
    </row>
    <row r="28" spans="1:28" x14ac:dyDescent="0.2">
      <c r="A28" s="296"/>
      <c r="C28" s="2"/>
      <c r="D28" s="2"/>
      <c r="E28" s="2"/>
      <c r="F28" s="2"/>
      <c r="G28" s="2"/>
      <c r="H28" s="2"/>
      <c r="I28" s="628" t="s">
        <v>223</v>
      </c>
      <c r="J28" s="628"/>
      <c r="K28" s="506" t="b">
        <v>1</v>
      </c>
      <c r="L28" s="2"/>
      <c r="M28" s="2"/>
      <c r="N28" s="2"/>
      <c r="O28" s="2"/>
      <c r="P28" s="2"/>
      <c r="Q28" s="2"/>
      <c r="R28" s="2"/>
      <c r="S28" s="488">
        <f>0.98692326671601*S27</f>
        <v>0.21130172644231693</v>
      </c>
      <c r="T28" s="488">
        <f>Zwischenrechnungen!F36</f>
        <v>0.18816375316541833</v>
      </c>
      <c r="U28" s="488">
        <f>Zwischenrechnungen!F37</f>
        <v>0.23118243263539701</v>
      </c>
      <c r="V28" s="116"/>
      <c r="W28" s="116"/>
      <c r="X28" s="259"/>
      <c r="Y28" s="498"/>
      <c r="Z28" s="498"/>
      <c r="AA28" s="498"/>
      <c r="AB28" s="498"/>
    </row>
    <row r="29" spans="1:28" x14ac:dyDescent="0.2">
      <c r="A29" s="296"/>
      <c r="C29" s="116"/>
      <c r="D29" s="116"/>
      <c r="E29" s="116"/>
      <c r="F29" s="116"/>
      <c r="H29" s="116"/>
      <c r="I29" s="116"/>
      <c r="J29" s="116"/>
      <c r="K29" s="116"/>
      <c r="L29" s="116"/>
      <c r="M29" s="116"/>
      <c r="N29" s="116"/>
      <c r="O29" s="116"/>
      <c r="P29" s="116"/>
      <c r="Q29" s="116"/>
      <c r="R29" s="116"/>
      <c r="S29" s="456"/>
      <c r="T29" s="456"/>
      <c r="U29" s="456"/>
      <c r="V29" s="296"/>
      <c r="W29" s="259"/>
      <c r="X29" s="259"/>
      <c r="Y29" s="498"/>
      <c r="Z29" s="498"/>
      <c r="AA29" s="498"/>
      <c r="AB29" s="498"/>
    </row>
    <row r="30" spans="1:28" x14ac:dyDescent="0.2">
      <c r="A30" s="262"/>
      <c r="C30" s="116"/>
      <c r="D30" s="116"/>
      <c r="E30" s="116"/>
      <c r="F30" s="116"/>
      <c r="G30" s="116"/>
      <c r="H30" s="116"/>
      <c r="I30" s="116"/>
      <c r="J30" s="116"/>
      <c r="K30" s="116"/>
      <c r="L30" s="116"/>
      <c r="M30" s="116"/>
      <c r="N30" s="116"/>
      <c r="O30" s="116"/>
      <c r="P30" s="116"/>
      <c r="Q30" s="116"/>
      <c r="R30" s="116"/>
      <c r="S30" s="456"/>
      <c r="T30" s="456"/>
      <c r="U30" s="456"/>
      <c r="V30" s="113"/>
      <c r="W30" s="2"/>
      <c r="X30" s="2"/>
      <c r="Y30" s="498"/>
      <c r="Z30" s="498"/>
      <c r="AA30" s="498"/>
      <c r="AB30" s="498"/>
    </row>
    <row r="31" spans="1:28" x14ac:dyDescent="0.2">
      <c r="A31" s="262"/>
      <c r="C31" s="141"/>
      <c r="D31" s="624" t="s">
        <v>3</v>
      </c>
      <c r="E31" s="624"/>
      <c r="F31" s="624"/>
      <c r="G31" s="624"/>
      <c r="H31" s="624"/>
      <c r="I31" s="624"/>
      <c r="J31" s="624"/>
      <c r="K31" s="624"/>
      <c r="L31" s="624"/>
      <c r="M31" s="624"/>
      <c r="N31" s="624"/>
      <c r="O31" s="624"/>
      <c r="P31" s="624"/>
      <c r="Q31" s="141"/>
      <c r="R31" s="632" t="s">
        <v>20</v>
      </c>
      <c r="S31" s="632"/>
      <c r="T31" s="632"/>
      <c r="U31" s="632"/>
      <c r="V31" s="632"/>
      <c r="W31" s="632"/>
      <c r="X31" s="632"/>
      <c r="Y31" s="498"/>
      <c r="Z31" s="498"/>
      <c r="AA31" s="498"/>
      <c r="AB31" s="498"/>
    </row>
    <row r="32" spans="1:28" x14ac:dyDescent="0.2">
      <c r="A32" s="262"/>
      <c r="C32" s="167"/>
      <c r="D32" s="629" t="s">
        <v>409</v>
      </c>
      <c r="E32" s="630"/>
      <c r="F32" s="629" t="s">
        <v>432</v>
      </c>
      <c r="G32" s="631"/>
      <c r="H32" s="630"/>
      <c r="I32" s="624" t="s">
        <v>482</v>
      </c>
      <c r="J32" s="624"/>
      <c r="K32" s="624"/>
      <c r="L32" s="624"/>
      <c r="M32" s="633" t="s">
        <v>415</v>
      </c>
      <c r="N32" s="633"/>
      <c r="O32" s="633"/>
      <c r="P32" s="633"/>
      <c r="Q32" s="167"/>
      <c r="R32" s="632" t="s">
        <v>434</v>
      </c>
      <c r="S32" s="632"/>
      <c r="T32" s="632"/>
      <c r="U32" s="632" t="s">
        <v>433</v>
      </c>
      <c r="V32" s="632"/>
      <c r="W32" s="632" t="s">
        <v>41</v>
      </c>
      <c r="X32" s="632"/>
      <c r="Y32" s="498"/>
      <c r="Z32" s="498"/>
      <c r="AA32" s="498"/>
      <c r="AB32" s="498"/>
    </row>
    <row r="33" spans="1:28" x14ac:dyDescent="0.2">
      <c r="A33" s="261"/>
      <c r="C33" s="458" t="s">
        <v>5</v>
      </c>
      <c r="D33" s="489" t="s">
        <v>104</v>
      </c>
      <c r="E33" s="489" t="s">
        <v>410</v>
      </c>
      <c r="F33" s="489" t="s">
        <v>103</v>
      </c>
      <c r="G33" s="489" t="s">
        <v>412</v>
      </c>
      <c r="H33" s="489" t="s">
        <v>413</v>
      </c>
      <c r="I33" s="490" t="s">
        <v>479</v>
      </c>
      <c r="J33" s="491" t="s">
        <v>480</v>
      </c>
      <c r="K33" s="624" t="s">
        <v>481</v>
      </c>
      <c r="L33" s="624"/>
      <c r="M33" s="491" t="s">
        <v>417</v>
      </c>
      <c r="N33" s="489" t="s">
        <v>427</v>
      </c>
      <c r="O33" s="489" t="s">
        <v>424</v>
      </c>
      <c r="P33" s="489" t="s">
        <v>425</v>
      </c>
      <c r="Q33" s="458" t="s">
        <v>5</v>
      </c>
      <c r="R33" s="492" t="s">
        <v>436</v>
      </c>
      <c r="S33" s="492" t="s">
        <v>23</v>
      </c>
      <c r="T33" s="492" t="s">
        <v>24</v>
      </c>
      <c r="U33" s="492" t="s">
        <v>22</v>
      </c>
      <c r="V33" s="492" t="s">
        <v>437</v>
      </c>
      <c r="W33" s="492" t="s">
        <v>435</v>
      </c>
      <c r="X33" s="492" t="s">
        <v>416</v>
      </c>
      <c r="Y33" s="498"/>
      <c r="Z33" s="498"/>
      <c r="AA33" s="498"/>
      <c r="AB33" s="498"/>
    </row>
    <row r="34" spans="1:28" x14ac:dyDescent="0.2">
      <c r="A34" s="503"/>
      <c r="C34" s="464" t="s">
        <v>411</v>
      </c>
      <c r="D34" s="180">
        <v>7</v>
      </c>
      <c r="E34" s="180">
        <v>2.5</v>
      </c>
      <c r="F34" s="180">
        <v>250</v>
      </c>
      <c r="G34" s="180">
        <v>50</v>
      </c>
      <c r="H34" s="183">
        <v>7.0000000000000007E-2</v>
      </c>
      <c r="I34" s="229">
        <v>300</v>
      </c>
      <c r="J34" s="180">
        <f>R27/2</f>
        <v>5.415</v>
      </c>
      <c r="K34" s="615">
        <f>IF(L37="Größe nicht berücksichtigt",I19/1000,I19/1000+F34)</f>
        <v>0.2</v>
      </c>
      <c r="L34" s="615"/>
      <c r="M34" s="8" t="str">
        <f>Punkteberechnung!$B$11</f>
        <v>Sehr hoch (≥10^6 CFU/ml)</v>
      </c>
      <c r="N34" s="8" t="str">
        <f>Punkteberechnung!$B$11</f>
        <v>Sehr hoch (≥10^6 CFU/ml)</v>
      </c>
      <c r="O34" s="8" t="str">
        <f>Punkteberechnung!$B$11</f>
        <v>Sehr hoch (≥10^6 CFU/ml)</v>
      </c>
      <c r="P34" s="8" t="str">
        <f>Punkteberechnung!$B$11</f>
        <v>Sehr hoch (≥10^6 CFU/ml)</v>
      </c>
      <c r="Q34" s="464" t="s">
        <v>411</v>
      </c>
      <c r="R34" s="7">
        <v>10</v>
      </c>
      <c r="S34" s="7">
        <v>3</v>
      </c>
      <c r="T34" s="7">
        <v>10</v>
      </c>
      <c r="U34" s="7">
        <v>0.1</v>
      </c>
      <c r="V34" s="195">
        <v>0.01</v>
      </c>
      <c r="W34" s="8" t="str">
        <f>Punkteberechnung!$B$11</f>
        <v>Sehr hoch (≥10^6 CFU/ml)</v>
      </c>
      <c r="X34" s="8" t="str">
        <f>Punkteberechnung!$B$11</f>
        <v>Sehr hoch (≥10^6 CFU/ml)</v>
      </c>
      <c r="Y34" s="116"/>
    </row>
    <row r="35" spans="1:28" x14ac:dyDescent="0.2">
      <c r="A35" s="261"/>
      <c r="C35" s="464" t="s">
        <v>439</v>
      </c>
      <c r="D35" s="180">
        <v>0</v>
      </c>
      <c r="E35" s="180">
        <v>0</v>
      </c>
      <c r="F35" s="180">
        <v>0</v>
      </c>
      <c r="G35" s="180">
        <v>0</v>
      </c>
      <c r="H35" s="180">
        <v>0</v>
      </c>
      <c r="I35" s="229">
        <v>0</v>
      </c>
      <c r="J35" s="180">
        <v>0</v>
      </c>
      <c r="K35" s="615">
        <v>0</v>
      </c>
      <c r="L35" s="615"/>
      <c r="M35" s="9" t="s">
        <v>418</v>
      </c>
      <c r="N35" s="9" t="s">
        <v>418</v>
      </c>
      <c r="O35" s="9" t="s">
        <v>418</v>
      </c>
      <c r="P35" s="9" t="s">
        <v>418</v>
      </c>
      <c r="Q35" s="464" t="s">
        <v>439</v>
      </c>
      <c r="R35" s="7">
        <v>0</v>
      </c>
      <c r="S35" s="7">
        <v>0</v>
      </c>
      <c r="T35" s="7">
        <v>0</v>
      </c>
      <c r="U35" s="7">
        <v>0</v>
      </c>
      <c r="V35" s="7">
        <v>0</v>
      </c>
      <c r="W35" s="9" t="s">
        <v>418</v>
      </c>
      <c r="X35" s="9" t="s">
        <v>418</v>
      </c>
      <c r="Y35" s="116"/>
    </row>
    <row r="36" spans="1:28" x14ac:dyDescent="0.2">
      <c r="A36" s="261"/>
      <c r="K36" s="489" t="s">
        <v>53</v>
      </c>
      <c r="L36" s="489" t="s">
        <v>484</v>
      </c>
      <c r="N36" s="463"/>
      <c r="O36" s="462"/>
      <c r="P36" s="2"/>
      <c r="Q36" s="116"/>
      <c r="R36" s="462"/>
      <c r="S36" s="463"/>
      <c r="T36" s="463"/>
      <c r="U36" s="113"/>
      <c r="V36" s="113"/>
      <c r="W36" s="463"/>
      <c r="X36" s="463"/>
      <c r="Y36" s="116"/>
    </row>
    <row r="37" spans="1:28" x14ac:dyDescent="0.2">
      <c r="A37" s="261"/>
      <c r="C37" s="470" t="s">
        <v>15</v>
      </c>
      <c r="D37" s="475" t="str">
        <f t="shared" ref="D37:L37" si="1">IF(D38&gt;0,"Wert vorhanden","Größe nicht berücksichtigt")</f>
        <v>Wert vorhanden</v>
      </c>
      <c r="E37" s="475" t="str">
        <f t="shared" si="1"/>
        <v>Größe nicht berücksichtigt</v>
      </c>
      <c r="F37" s="475" t="str">
        <f t="shared" si="1"/>
        <v>Wert vorhanden</v>
      </c>
      <c r="G37" s="475" t="str">
        <f t="shared" si="1"/>
        <v>Größe nicht berücksichtigt</v>
      </c>
      <c r="H37" s="475" t="str">
        <f t="shared" si="1"/>
        <v>Größe nicht berücksichtigt</v>
      </c>
      <c r="I37" s="475" t="str">
        <f t="shared" si="1"/>
        <v>Wert vorhanden</v>
      </c>
      <c r="J37" s="475" t="str">
        <f t="shared" si="1"/>
        <v>Wert vorhanden</v>
      </c>
      <c r="K37" s="475" t="str">
        <f t="shared" si="1"/>
        <v>Wert vorhanden</v>
      </c>
      <c r="L37" s="475" t="str">
        <f t="shared" si="1"/>
        <v>Größe nicht berücksichtigt</v>
      </c>
      <c r="M37" s="475" t="str">
        <f>IF(M38="Kein Test durchgeführt","Größe nicht berücksichtigt","Wert vorhanden")</f>
        <v>Wert vorhanden</v>
      </c>
      <c r="N37" s="475" t="str">
        <f>IF(N38="Kein Test durchgeführt","Größe nicht berücksichtigt","Wert vorhanden")</f>
        <v>Wert vorhanden</v>
      </c>
      <c r="O37" s="475" t="str">
        <f>IF(O38="Kein Test durchgeführt","Größe nicht berücksichtigt","Wert vorhanden")</f>
        <v>Wert vorhanden</v>
      </c>
      <c r="P37" s="475" t="str">
        <f>IF(P38="Kein Test durchgeführt","Größe nicht berücksichtigt","Wert vorhanden")</f>
        <v>Wert vorhanden</v>
      </c>
      <c r="Q37" s="116"/>
      <c r="R37" s="475" t="str">
        <f>IF(R38&gt;0,"Wert vorhanden","Größe nicht berücksichtigt")</f>
        <v>Wert vorhanden</v>
      </c>
      <c r="S37" s="475" t="str">
        <f>IF(S38&gt;0,"Wert vorhanden","Größe nicht berücksichtigt")</f>
        <v>Wert vorhanden</v>
      </c>
      <c r="T37" s="475" t="str">
        <f>IF(T38&gt;0,"Wert vorhanden","Größe nicht berücksichtigt")</f>
        <v>Wert vorhanden</v>
      </c>
      <c r="U37" s="475" t="str">
        <f>IF(U38&gt;0,"Wert vorhanden","Größe nicht berücksichtigt")</f>
        <v>Größe nicht berücksichtigt</v>
      </c>
      <c r="V37" s="475" t="str">
        <f>IF(V38&gt;0,"Wert vorhanden","Größe nicht berücksichtigt")</f>
        <v>Größe nicht berücksichtigt</v>
      </c>
      <c r="W37" s="475" t="str">
        <f>IF(W38="Kein Test durchgeführt","Größe nicht berücksichtigt","Wert vorhanden")</f>
        <v>Größe nicht berücksichtigt</v>
      </c>
      <c r="X37" s="475" t="str">
        <f>IF(X38="Kein Test durchgeführt","Größe nicht berücksichtigt","Wert vorhanden")</f>
        <v>Wert vorhanden</v>
      </c>
      <c r="Y37" s="116"/>
    </row>
    <row r="38" spans="1:28" x14ac:dyDescent="0.2">
      <c r="A38" s="261"/>
      <c r="C38" s="470" t="s">
        <v>0</v>
      </c>
      <c r="D38" s="227">
        <v>2.5</v>
      </c>
      <c r="E38" s="227"/>
      <c r="F38" s="227">
        <v>560</v>
      </c>
      <c r="G38" s="227"/>
      <c r="H38" s="227"/>
      <c r="I38" s="230">
        <f>IF(K28=TRUE,Zwischenrechnungen!B12)</f>
        <v>113.26018807351281</v>
      </c>
      <c r="J38" s="227">
        <v>12</v>
      </c>
      <c r="K38" s="227">
        <f>I24/1000</f>
        <v>0.69</v>
      </c>
      <c r="L38" s="227"/>
      <c r="M38" s="10" t="s">
        <v>419</v>
      </c>
      <c r="N38" s="10" t="s">
        <v>420</v>
      </c>
      <c r="O38" s="10" t="s">
        <v>419</v>
      </c>
      <c r="P38" s="10" t="s">
        <v>419</v>
      </c>
      <c r="Q38" s="116"/>
      <c r="R38" s="15">
        <v>0.1</v>
      </c>
      <c r="S38" s="15">
        <v>3</v>
      </c>
      <c r="T38" s="15">
        <v>10</v>
      </c>
      <c r="U38" s="228"/>
      <c r="V38" s="228"/>
      <c r="W38" s="10" t="s">
        <v>423</v>
      </c>
      <c r="X38" s="10" t="s">
        <v>422</v>
      </c>
      <c r="Y38" s="116"/>
    </row>
    <row r="39" spans="1:28" x14ac:dyDescent="0.2">
      <c r="A39" s="261"/>
      <c r="C39" s="116"/>
      <c r="D39" s="116"/>
      <c r="E39" s="116"/>
      <c r="F39" s="116"/>
      <c r="G39" s="116"/>
      <c r="H39" s="116"/>
      <c r="I39" s="116"/>
      <c r="J39" s="116"/>
      <c r="K39" s="116"/>
      <c r="L39" s="116"/>
      <c r="M39" s="116"/>
      <c r="N39" s="116"/>
      <c r="O39" s="116"/>
      <c r="P39" s="116"/>
      <c r="Q39" s="116"/>
      <c r="R39" s="116"/>
      <c r="S39" s="116"/>
      <c r="T39" s="116"/>
      <c r="U39" s="116"/>
      <c r="V39" s="116"/>
      <c r="W39" s="116"/>
      <c r="X39" s="259"/>
      <c r="Y39" s="116"/>
    </row>
    <row r="40" spans="1:28" x14ac:dyDescent="0.2">
      <c r="A40" s="261"/>
      <c r="C40" s="116"/>
      <c r="D40" s="116"/>
      <c r="E40" s="116"/>
      <c r="F40" s="116"/>
      <c r="G40" s="116"/>
      <c r="H40" s="116"/>
      <c r="I40" s="116"/>
      <c r="J40" s="116"/>
      <c r="K40" s="116"/>
      <c r="L40" s="116"/>
      <c r="M40" s="116"/>
      <c r="N40" s="116"/>
      <c r="O40" s="116"/>
      <c r="P40" s="116"/>
      <c r="Q40" s="116"/>
      <c r="R40" s="116"/>
      <c r="S40" s="116"/>
      <c r="T40" s="116"/>
      <c r="U40" s="116"/>
      <c r="V40" s="116"/>
      <c r="W40" s="116"/>
      <c r="X40" s="259"/>
      <c r="Y40" s="116"/>
    </row>
    <row r="41" spans="1:28" x14ac:dyDescent="0.2">
      <c r="A41" s="261"/>
      <c r="C41" s="141"/>
      <c r="D41" s="598" t="s">
        <v>19</v>
      </c>
      <c r="E41" s="598"/>
      <c r="F41" s="598"/>
      <c r="G41" s="598"/>
      <c r="H41" s="598"/>
      <c r="I41" s="598"/>
      <c r="J41" s="598"/>
      <c r="K41" s="598"/>
      <c r="L41" s="598"/>
      <c r="M41" s="598"/>
      <c r="N41" s="598"/>
      <c r="O41" s="598"/>
      <c r="P41" s="598"/>
      <c r="Q41" s="598"/>
      <c r="R41" s="598"/>
      <c r="S41" s="116"/>
      <c r="T41" s="116"/>
      <c r="U41" s="116"/>
      <c r="V41" s="116"/>
      <c r="W41" s="116"/>
      <c r="X41" s="116"/>
      <c r="Y41" s="116"/>
    </row>
    <row r="42" spans="1:28" x14ac:dyDescent="0.2">
      <c r="A42" s="261"/>
      <c r="C42" s="167"/>
      <c r="D42" s="594" t="s">
        <v>438</v>
      </c>
      <c r="E42" s="594"/>
      <c r="F42" s="594"/>
      <c r="G42" s="594" t="s">
        <v>443</v>
      </c>
      <c r="H42" s="594"/>
      <c r="I42" s="594"/>
      <c r="J42" s="594"/>
      <c r="K42" s="594"/>
      <c r="L42" s="594"/>
      <c r="M42" s="594" t="s">
        <v>471</v>
      </c>
      <c r="N42" s="594"/>
      <c r="O42" s="594"/>
      <c r="P42" s="594"/>
      <c r="Q42" s="594"/>
      <c r="R42" s="594"/>
      <c r="S42" s="116"/>
      <c r="T42" s="116"/>
      <c r="U42" s="116"/>
      <c r="V42" s="116"/>
      <c r="W42" s="116"/>
      <c r="X42" s="116"/>
      <c r="Y42" s="116"/>
    </row>
    <row r="43" spans="1:28" x14ac:dyDescent="0.2">
      <c r="A43" s="261"/>
      <c r="C43" s="493" t="s">
        <v>5</v>
      </c>
      <c r="D43" s="215" t="s">
        <v>6</v>
      </c>
      <c r="E43" s="215" t="s">
        <v>7</v>
      </c>
      <c r="F43" s="215" t="s">
        <v>440</v>
      </c>
      <c r="G43" s="494" t="s">
        <v>5</v>
      </c>
      <c r="H43" s="215" t="s">
        <v>465</v>
      </c>
      <c r="I43" s="215" t="s">
        <v>466</v>
      </c>
      <c r="J43" s="215" t="s">
        <v>467</v>
      </c>
      <c r="K43" s="215" t="s">
        <v>468</v>
      </c>
      <c r="L43" s="219" t="s">
        <v>444</v>
      </c>
      <c r="M43" s="593" t="s">
        <v>553</v>
      </c>
      <c r="N43" s="494" t="s">
        <v>5</v>
      </c>
      <c r="O43" s="215" t="s">
        <v>448</v>
      </c>
      <c r="P43" s="215" t="s">
        <v>446</v>
      </c>
      <c r="Q43" s="594" t="s">
        <v>447</v>
      </c>
      <c r="R43" s="594"/>
      <c r="S43" s="116"/>
      <c r="T43" s="116"/>
      <c r="U43" s="116"/>
      <c r="V43" s="116"/>
      <c r="W43" s="116"/>
      <c r="X43" s="116"/>
      <c r="Y43" s="116"/>
    </row>
    <row r="44" spans="1:28" ht="12.75" customHeight="1" x14ac:dyDescent="0.2">
      <c r="A44" s="263"/>
      <c r="C44" s="495" t="s">
        <v>442</v>
      </c>
      <c r="D44" s="4">
        <v>12.9</v>
      </c>
      <c r="E44" s="5">
        <v>21</v>
      </c>
      <c r="F44" s="81">
        <v>745</v>
      </c>
      <c r="G44" s="496" t="s">
        <v>442</v>
      </c>
      <c r="H44" s="205">
        <v>100</v>
      </c>
      <c r="I44" s="205">
        <v>100</v>
      </c>
      <c r="J44" s="596" t="s">
        <v>121</v>
      </c>
      <c r="K44" s="596" t="s">
        <v>121</v>
      </c>
      <c r="L44" s="220">
        <v>1500</v>
      </c>
      <c r="M44" s="593"/>
      <c r="N44" s="496" t="s">
        <v>445</v>
      </c>
      <c r="O44" s="209">
        <v>20</v>
      </c>
      <c r="P44" s="597" t="s">
        <v>121</v>
      </c>
      <c r="Q44" s="595" t="s">
        <v>121</v>
      </c>
      <c r="R44" s="595"/>
      <c r="S44" s="116"/>
      <c r="T44" s="116"/>
      <c r="U44" s="116"/>
      <c r="V44" s="116"/>
      <c r="W44" s="116"/>
      <c r="X44" s="116"/>
      <c r="Y44" s="116"/>
    </row>
    <row r="45" spans="1:28" x14ac:dyDescent="0.2">
      <c r="A45" s="261"/>
      <c r="C45" s="495" t="s">
        <v>411</v>
      </c>
      <c r="D45" s="4">
        <v>16.399999999999999</v>
      </c>
      <c r="E45" s="5">
        <v>108</v>
      </c>
      <c r="F45" s="81">
        <v>320</v>
      </c>
      <c r="G45" s="496" t="s">
        <v>411</v>
      </c>
      <c r="H45" s="205">
        <v>740</v>
      </c>
      <c r="I45" s="205">
        <v>740</v>
      </c>
      <c r="J45" s="595"/>
      <c r="K45" s="595"/>
      <c r="L45" s="220">
        <v>2000</v>
      </c>
      <c r="M45" s="207"/>
      <c r="N45" s="496" t="s">
        <v>439</v>
      </c>
      <c r="O45" s="209">
        <v>5</v>
      </c>
      <c r="P45" s="596"/>
      <c r="Q45" s="595"/>
      <c r="R45" s="595"/>
      <c r="S45" s="116"/>
      <c r="T45" s="116"/>
      <c r="U45" s="116"/>
      <c r="V45" s="116"/>
      <c r="W45" s="116"/>
      <c r="X45" s="116"/>
      <c r="Y45" s="116"/>
    </row>
    <row r="46" spans="1:28" x14ac:dyDescent="0.2">
      <c r="A46" s="261"/>
      <c r="C46" s="495" t="s">
        <v>441</v>
      </c>
      <c r="D46" s="4">
        <v>25.5</v>
      </c>
      <c r="E46" s="5">
        <v>402</v>
      </c>
      <c r="F46" s="81">
        <v>140</v>
      </c>
      <c r="G46" s="496" t="s">
        <v>441</v>
      </c>
      <c r="H46" s="205">
        <v>3500</v>
      </c>
      <c r="I46" s="205">
        <v>3500</v>
      </c>
      <c r="J46" s="595"/>
      <c r="K46" s="595"/>
      <c r="L46" s="220">
        <v>2500</v>
      </c>
      <c r="M46" s="208"/>
      <c r="N46" s="116"/>
      <c r="O46" s="116"/>
      <c r="P46" s="498"/>
      <c r="Q46" s="116"/>
      <c r="R46" s="116"/>
      <c r="S46" s="116"/>
      <c r="T46" s="116"/>
      <c r="U46" s="116"/>
      <c r="V46" s="116"/>
      <c r="W46" s="116"/>
      <c r="X46" s="116"/>
      <c r="Y46" s="116"/>
    </row>
    <row r="47" spans="1:28" x14ac:dyDescent="0.2">
      <c r="A47" s="261"/>
      <c r="C47" s="116"/>
      <c r="D47" s="116"/>
      <c r="E47" s="116"/>
      <c r="F47" s="116"/>
      <c r="G47" s="116"/>
      <c r="H47" s="116"/>
      <c r="I47" s="116"/>
      <c r="J47" s="116"/>
      <c r="K47" s="116"/>
      <c r="L47" s="116"/>
      <c r="M47" s="116"/>
      <c r="N47" s="116"/>
      <c r="O47" s="116"/>
      <c r="P47" s="116"/>
      <c r="Q47" s="116"/>
      <c r="R47" s="204" t="s">
        <v>449</v>
      </c>
      <c r="S47" s="116"/>
      <c r="T47" s="116"/>
      <c r="U47" s="116"/>
      <c r="V47" s="116"/>
      <c r="W47" s="116"/>
      <c r="X47" s="116"/>
      <c r="Y47" s="116"/>
    </row>
    <row r="48" spans="1:28" x14ac:dyDescent="0.2">
      <c r="A48" s="262"/>
      <c r="C48" s="470" t="s">
        <v>15</v>
      </c>
      <c r="D48" s="591" t="s">
        <v>456</v>
      </c>
      <c r="E48" s="592"/>
      <c r="F48" s="475" t="str">
        <f>IF(F49&gt;=0,"Wert vorhanden",IF(F49&lt;0,"Wert von mindestens 0 eingeben","Wert eingeben"))</f>
        <v>Wert vorhanden</v>
      </c>
      <c r="G48" s="116"/>
      <c r="H48" s="475" t="str">
        <f>IF(H49&gt;0,"Wert vorhanden",IF(H49&lt;0,"Wert über 0 eingeben","Wert eingeben"))</f>
        <v>Wert vorhanden</v>
      </c>
      <c r="I48" s="475" t="str">
        <f>IF(I49&gt;0,"Wert vorhanden",IF(I49&lt;0,"Wert über 0 eingeben","Wert eingeben"))</f>
        <v>Wert vorhanden</v>
      </c>
      <c r="J48" s="475" t="str">
        <f>IF(J49&gt;0,"Wert vorhanden",IF(J49&lt;0,"Wert über 0 eingeben","Wert eingeben"))</f>
        <v>Wert vorhanden</v>
      </c>
      <c r="K48" s="475" t="str">
        <f>IF(K49&gt;0,"Wert vorhanden",IF(K49&lt;0,"Wert über 0 eingeben","Wert eingeben"))</f>
        <v>Wert vorhanden</v>
      </c>
      <c r="L48" s="475" t="str">
        <f>IF(L49&gt;0,"Wert vorhanden","Größe nicht berücksichtigt")</f>
        <v>Wert vorhanden</v>
      </c>
      <c r="M48" s="116"/>
      <c r="N48" s="116"/>
      <c r="O48" s="499" t="str">
        <f>IF(O49&gt;0,"Wert vorhanden",IF(O49&lt;0,"Wert über 0 eingeben","Wert eingeben"))</f>
        <v>Wert eingeben</v>
      </c>
      <c r="P48" s="475" t="str">
        <f>IF(P49&gt;0,"Wert vorhanden",IF(P49&lt;0,"Wert über 0 eingeben","Wert eingeben"))</f>
        <v>Wert vorhanden</v>
      </c>
      <c r="Q48" s="475" t="str">
        <f>IF(Q49&gt;0,"Wert vorhanden",IF(Q49&lt;0,"Wert über 0 eingeben","Wert eingeben"))</f>
        <v>Wert vorhanden</v>
      </c>
      <c r="R48" s="475" t="str">
        <f>IF(R49&gt;0,"Wert vorhanden",IF(R49&lt;0,"Wert über 0 eingeben","Wert eingeben"))</f>
        <v>Wert vorhanden</v>
      </c>
      <c r="S48" s="116"/>
      <c r="T48" s="116"/>
      <c r="U48" s="116"/>
      <c r="V48" s="116"/>
      <c r="W48" s="116"/>
      <c r="X48" s="116"/>
      <c r="Y48" s="116"/>
    </row>
    <row r="49" spans="1:30" x14ac:dyDescent="0.2">
      <c r="A49" s="262"/>
      <c r="C49" s="470" t="s">
        <v>0</v>
      </c>
      <c r="D49" s="500">
        <f>D24</f>
        <v>12.2</v>
      </c>
      <c r="E49" s="501">
        <f>E24</f>
        <v>300</v>
      </c>
      <c r="F49" s="217">
        <v>0</v>
      </c>
      <c r="G49" s="498"/>
      <c r="H49" s="497">
        <f>E24/3600*4190*997*E26/1000</f>
        <v>2158.3388333333332</v>
      </c>
      <c r="I49" s="497">
        <f>E24/3600*4190*997*E27/1000</f>
        <v>1740.5958333333331</v>
      </c>
      <c r="J49" s="218">
        <v>2000</v>
      </c>
      <c r="K49" s="218">
        <v>2000</v>
      </c>
      <c r="L49" s="221">
        <v>3000</v>
      </c>
      <c r="M49" s="509" t="b">
        <v>1</v>
      </c>
      <c r="N49" s="498"/>
      <c r="O49" s="508"/>
      <c r="P49" s="245">
        <v>0.32</v>
      </c>
      <c r="Q49" s="507" t="s">
        <v>451</v>
      </c>
      <c r="R49" s="245">
        <f>VLOOKUP(Q49,Punkteberechnung!B40:C44,2,FALSE)</f>
        <v>0.16700000000000001</v>
      </c>
      <c r="S49" s="116"/>
      <c r="T49" s="116"/>
      <c r="U49" s="116"/>
      <c r="V49" s="116"/>
      <c r="W49" s="116"/>
      <c r="X49" s="116"/>
      <c r="Y49" s="116"/>
    </row>
    <row r="50" spans="1:30" x14ac:dyDescent="0.2">
      <c r="A50" s="504"/>
      <c r="B50" s="502"/>
      <c r="C50" s="498"/>
      <c r="D50" s="498"/>
      <c r="E50" s="498"/>
      <c r="F50" s="498"/>
      <c r="G50" s="498"/>
      <c r="H50" s="498"/>
      <c r="I50" s="498"/>
      <c r="J50" s="498"/>
      <c r="K50" s="498"/>
      <c r="L50" s="498"/>
      <c r="M50" s="498"/>
      <c r="N50" s="498"/>
      <c r="O50" s="498"/>
      <c r="P50" s="498"/>
      <c r="Q50" s="498"/>
      <c r="R50" s="498"/>
      <c r="S50" s="498"/>
      <c r="T50" s="498"/>
      <c r="U50" s="498"/>
      <c r="V50" s="498"/>
      <c r="W50" s="259"/>
      <c r="X50" s="259"/>
      <c r="Y50" s="116"/>
    </row>
    <row r="51" spans="1:30" x14ac:dyDescent="0.2">
      <c r="A51" s="504"/>
      <c r="B51" s="502"/>
      <c r="C51" s="498"/>
      <c r="D51" s="498"/>
      <c r="E51" s="498"/>
      <c r="F51" s="498"/>
      <c r="G51" s="498"/>
      <c r="H51" s="498"/>
      <c r="I51" s="498"/>
      <c r="J51" s="498"/>
      <c r="K51" s="498"/>
      <c r="L51" s="498"/>
      <c r="M51" s="498"/>
      <c r="N51" s="498"/>
      <c r="O51" s="498"/>
      <c r="P51" s="498"/>
      <c r="Q51" s="498"/>
      <c r="R51" s="498"/>
      <c r="S51" s="498"/>
      <c r="T51" s="498"/>
      <c r="U51" s="498"/>
      <c r="V51" s="498"/>
      <c r="W51" s="259"/>
      <c r="Z51" s="1"/>
      <c r="AA51" s="1"/>
      <c r="AB51" s="1"/>
      <c r="AC51" s="1"/>
      <c r="AD51" s="1"/>
    </row>
    <row r="52" spans="1:30" x14ac:dyDescent="0.2">
      <c r="A52" s="504"/>
      <c r="B52" s="502"/>
      <c r="C52" s="498"/>
      <c r="D52" s="498"/>
      <c r="E52" s="498"/>
      <c r="F52" s="498"/>
      <c r="G52" s="498"/>
      <c r="H52" s="498"/>
      <c r="I52" s="498"/>
      <c r="J52" s="498"/>
      <c r="K52" s="498"/>
      <c r="L52" s="498"/>
      <c r="M52" s="498"/>
      <c r="N52" s="498"/>
      <c r="O52" s="498"/>
      <c r="P52" s="498"/>
      <c r="Q52" s="498"/>
      <c r="R52" s="498"/>
      <c r="S52" s="498"/>
      <c r="T52" s="498"/>
      <c r="U52" s="498"/>
      <c r="V52" s="498"/>
      <c r="W52" s="259"/>
      <c r="X52" s="259"/>
      <c r="Y52" s="116"/>
    </row>
    <row r="53" spans="1:30" x14ac:dyDescent="0.2">
      <c r="A53" s="504"/>
      <c r="B53" s="502"/>
      <c r="C53" s="498"/>
      <c r="D53" s="498"/>
      <c r="E53" s="498"/>
      <c r="F53" s="498"/>
      <c r="G53" s="498"/>
      <c r="H53" s="498"/>
      <c r="I53" s="498"/>
      <c r="J53" s="498"/>
      <c r="K53" s="498"/>
      <c r="L53" s="498"/>
      <c r="M53" s="498"/>
      <c r="N53" s="498"/>
      <c r="O53" s="498"/>
      <c r="P53" s="498"/>
      <c r="Q53" s="498"/>
      <c r="R53" s="498"/>
      <c r="S53" s="498"/>
      <c r="T53" s="498"/>
      <c r="U53" s="498"/>
      <c r="V53" s="498"/>
      <c r="W53" s="259"/>
      <c r="X53" s="259"/>
      <c r="Y53" s="116"/>
    </row>
    <row r="54" spans="1:30" x14ac:dyDescent="0.2">
      <c r="A54" s="504"/>
      <c r="B54" s="502"/>
      <c r="C54" s="498"/>
      <c r="D54" s="498"/>
      <c r="E54" s="498"/>
      <c r="F54" s="498"/>
      <c r="G54" s="498"/>
      <c r="H54" s="498"/>
      <c r="I54" s="498"/>
      <c r="J54" s="498"/>
      <c r="K54" s="498"/>
      <c r="L54" s="498"/>
      <c r="M54" s="498"/>
      <c r="N54" s="498"/>
      <c r="O54" s="498"/>
      <c r="P54" s="498"/>
      <c r="Q54" s="498"/>
      <c r="R54" s="498"/>
      <c r="S54" s="498"/>
      <c r="T54" s="498"/>
      <c r="U54" s="498"/>
      <c r="V54" s="498"/>
      <c r="W54" s="259"/>
      <c r="X54" s="259"/>
      <c r="Y54" s="116"/>
    </row>
    <row r="55" spans="1:30" x14ac:dyDescent="0.2">
      <c r="A55" s="504"/>
      <c r="B55" s="502"/>
      <c r="C55" s="498"/>
      <c r="D55" s="498"/>
      <c r="E55" s="498"/>
      <c r="F55" s="498"/>
      <c r="G55" s="498"/>
      <c r="H55" s="498"/>
      <c r="I55" s="498"/>
      <c r="J55" s="498"/>
      <c r="K55" s="498"/>
      <c r="L55" s="498"/>
      <c r="M55" s="498"/>
      <c r="N55" s="498"/>
      <c r="O55" s="498"/>
      <c r="P55" s="498"/>
      <c r="Q55" s="498"/>
      <c r="R55" s="498"/>
      <c r="S55" s="498"/>
      <c r="T55" s="498"/>
      <c r="U55" s="498"/>
      <c r="V55" s="498"/>
      <c r="W55" s="259"/>
      <c r="X55" s="259"/>
      <c r="Y55" s="116"/>
    </row>
    <row r="56" spans="1:30" x14ac:dyDescent="0.2">
      <c r="A56" s="504"/>
      <c r="B56" s="502"/>
      <c r="C56" s="498"/>
      <c r="D56" s="498"/>
      <c r="E56" s="498"/>
      <c r="F56" s="498"/>
      <c r="G56" s="498"/>
      <c r="H56" s="498"/>
      <c r="I56" s="498"/>
      <c r="J56" s="498"/>
      <c r="K56" s="498"/>
      <c r="L56" s="498"/>
      <c r="M56" s="498"/>
      <c r="N56" s="498"/>
      <c r="O56" s="498"/>
      <c r="P56" s="498"/>
      <c r="Q56" s="498"/>
      <c r="R56" s="498"/>
      <c r="S56" s="498"/>
      <c r="T56" s="498"/>
      <c r="U56" s="498"/>
      <c r="V56" s="498"/>
      <c r="W56" s="259"/>
      <c r="X56" s="259"/>
      <c r="Y56" s="116"/>
    </row>
    <row r="57" spans="1:30" x14ac:dyDescent="0.2">
      <c r="A57" s="504"/>
      <c r="B57" s="502"/>
      <c r="C57" s="498"/>
      <c r="D57" s="498"/>
      <c r="E57" s="498"/>
      <c r="F57" s="498"/>
      <c r="G57" s="498"/>
      <c r="H57" s="498"/>
      <c r="I57" s="498"/>
      <c r="J57" s="498"/>
      <c r="K57" s="498"/>
      <c r="L57" s="498"/>
      <c r="M57" s="498"/>
      <c r="N57" s="498"/>
      <c r="O57" s="498"/>
      <c r="P57" s="498"/>
      <c r="Q57" s="498"/>
      <c r="R57" s="498"/>
      <c r="S57" s="498"/>
      <c r="T57" s="498"/>
      <c r="U57" s="498"/>
      <c r="V57" s="498"/>
      <c r="W57" s="259"/>
      <c r="X57" s="259"/>
      <c r="Y57" s="116"/>
    </row>
    <row r="58" spans="1:30" x14ac:dyDescent="0.2">
      <c r="A58" s="504"/>
      <c r="B58" s="502"/>
      <c r="C58" s="498"/>
      <c r="D58" s="498"/>
      <c r="E58" s="498"/>
      <c r="F58" s="498"/>
      <c r="G58" s="498"/>
      <c r="H58" s="498"/>
      <c r="I58" s="498"/>
      <c r="J58" s="498"/>
      <c r="K58" s="498"/>
      <c r="L58" s="498"/>
      <c r="M58" s="498"/>
      <c r="N58" s="498"/>
      <c r="O58" s="498"/>
      <c r="P58" s="498"/>
      <c r="Q58" s="498"/>
      <c r="R58" s="498"/>
      <c r="S58" s="498"/>
      <c r="T58" s="498"/>
      <c r="U58" s="498"/>
      <c r="V58" s="498"/>
      <c r="W58" s="259"/>
      <c r="X58" s="259"/>
      <c r="Y58" s="116"/>
    </row>
    <row r="59" spans="1:30" x14ac:dyDescent="0.2">
      <c r="A59" s="504"/>
      <c r="B59" s="502"/>
      <c r="C59" s="498"/>
      <c r="D59" s="498"/>
      <c r="E59" s="498"/>
      <c r="F59" s="498"/>
      <c r="G59" s="498"/>
      <c r="H59" s="498"/>
      <c r="I59" s="498"/>
      <c r="J59" s="498"/>
      <c r="K59" s="498"/>
      <c r="L59" s="498"/>
      <c r="M59" s="498"/>
      <c r="N59" s="498"/>
      <c r="O59" s="498"/>
      <c r="P59" s="498"/>
      <c r="Q59" s="498"/>
      <c r="R59" s="498"/>
      <c r="S59" s="498"/>
      <c r="T59" s="498"/>
      <c r="U59" s="498"/>
      <c r="V59" s="498"/>
      <c r="W59" s="259"/>
      <c r="X59" s="259"/>
      <c r="Y59" s="116"/>
    </row>
    <row r="60" spans="1:30" x14ac:dyDescent="0.2">
      <c r="A60" s="504"/>
      <c r="B60" s="502"/>
      <c r="C60" s="498"/>
      <c r="D60" s="498"/>
      <c r="E60" s="498"/>
      <c r="F60" s="498"/>
      <c r="G60" s="498"/>
      <c r="H60" s="498"/>
      <c r="I60" s="498"/>
      <c r="J60" s="498"/>
      <c r="K60" s="498"/>
      <c r="L60" s="498"/>
      <c r="M60" s="498"/>
      <c r="N60" s="498"/>
      <c r="O60" s="498"/>
      <c r="P60" s="498"/>
      <c r="Q60" s="498"/>
      <c r="R60" s="498"/>
      <c r="S60" s="498"/>
      <c r="T60" s="498"/>
      <c r="U60" s="498"/>
      <c r="V60" s="498"/>
      <c r="W60" s="259"/>
      <c r="X60" s="259"/>
      <c r="Y60" s="116"/>
    </row>
    <row r="61" spans="1:30" x14ac:dyDescent="0.2">
      <c r="A61" s="504"/>
      <c r="B61" s="502"/>
      <c r="C61" s="498"/>
      <c r="D61" s="498"/>
      <c r="E61" s="498"/>
      <c r="F61" s="498"/>
      <c r="G61" s="498"/>
      <c r="H61" s="498"/>
      <c r="I61" s="498"/>
      <c r="J61" s="498"/>
      <c r="K61" s="498"/>
      <c r="L61" s="498"/>
      <c r="M61" s="498"/>
      <c r="N61" s="498"/>
      <c r="O61" s="498"/>
      <c r="P61" s="498"/>
      <c r="Q61" s="498"/>
      <c r="R61" s="498"/>
      <c r="S61" s="498"/>
      <c r="T61" s="498"/>
      <c r="U61" s="498"/>
      <c r="V61" s="498"/>
      <c r="W61" s="259"/>
      <c r="X61" s="259"/>
      <c r="Y61" s="116"/>
    </row>
    <row r="62" spans="1:30" x14ac:dyDescent="0.2">
      <c r="A62" s="504"/>
      <c r="B62" s="502"/>
      <c r="C62" s="498"/>
      <c r="D62" s="498"/>
      <c r="E62" s="498"/>
      <c r="F62" s="498"/>
      <c r="G62" s="498"/>
      <c r="H62" s="498"/>
      <c r="I62" s="498"/>
      <c r="J62" s="498"/>
      <c r="K62" s="498"/>
      <c r="L62" s="498"/>
      <c r="M62" s="498"/>
      <c r="N62" s="498"/>
      <c r="O62" s="498"/>
      <c r="P62" s="498"/>
      <c r="Q62" s="498"/>
      <c r="R62" s="498"/>
      <c r="S62" s="498"/>
      <c r="T62" s="498"/>
      <c r="U62" s="498"/>
      <c r="V62" s="498"/>
      <c r="W62" s="259"/>
      <c r="X62" s="259"/>
      <c r="Y62" s="116"/>
    </row>
    <row r="63" spans="1:30" x14ac:dyDescent="0.2">
      <c r="A63" s="504"/>
      <c r="B63" s="502"/>
      <c r="C63" s="498"/>
      <c r="D63" s="498"/>
      <c r="E63" s="498"/>
      <c r="F63" s="498"/>
      <c r="G63" s="498"/>
      <c r="H63" s="498"/>
      <c r="I63" s="498"/>
      <c r="J63" s="498"/>
      <c r="K63" s="498"/>
      <c r="L63" s="498"/>
      <c r="M63" s="498"/>
      <c r="N63" s="498"/>
      <c r="O63" s="498"/>
      <c r="P63" s="498"/>
      <c r="Q63" s="498"/>
      <c r="R63" s="498"/>
      <c r="S63" s="498"/>
      <c r="T63" s="498"/>
      <c r="U63" s="498"/>
      <c r="V63" s="498"/>
      <c r="W63" s="259"/>
      <c r="X63" s="259"/>
      <c r="Y63" s="116"/>
    </row>
    <row r="64" spans="1:30" x14ac:dyDescent="0.2">
      <c r="A64" s="504"/>
      <c r="B64" s="502"/>
      <c r="C64" s="498"/>
      <c r="D64" s="498"/>
      <c r="E64" s="498"/>
      <c r="F64" s="498"/>
      <c r="G64" s="498"/>
      <c r="H64" s="498"/>
      <c r="I64" s="498"/>
      <c r="J64" s="498"/>
      <c r="K64" s="498"/>
      <c r="L64" s="498"/>
      <c r="M64" s="498"/>
      <c r="N64" s="498"/>
      <c r="O64" s="498"/>
      <c r="P64" s="498"/>
      <c r="Q64" s="498"/>
      <c r="R64" s="498"/>
      <c r="S64" s="498"/>
      <c r="T64" s="498"/>
      <c r="U64" s="498"/>
      <c r="V64" s="498"/>
      <c r="W64" s="259"/>
      <c r="X64" s="259"/>
      <c r="Y64" s="116"/>
    </row>
    <row r="65" spans="1:25" x14ac:dyDescent="0.2">
      <c r="A65" s="504"/>
      <c r="B65" s="502"/>
      <c r="C65" s="498"/>
      <c r="D65" s="498"/>
      <c r="E65" s="498"/>
      <c r="F65" s="498"/>
      <c r="G65" s="498"/>
      <c r="H65" s="498"/>
      <c r="I65" s="498"/>
      <c r="J65" s="498"/>
      <c r="K65" s="498"/>
      <c r="L65" s="498"/>
      <c r="M65" s="498"/>
      <c r="N65" s="498"/>
      <c r="O65" s="498"/>
      <c r="P65" s="498"/>
      <c r="Q65" s="498"/>
      <c r="R65" s="498"/>
      <c r="S65" s="498"/>
      <c r="T65" s="498"/>
      <c r="U65" s="498"/>
      <c r="V65" s="498"/>
      <c r="W65" s="259"/>
      <c r="X65" s="259"/>
      <c r="Y65" s="116"/>
    </row>
    <row r="66" spans="1:25" x14ac:dyDescent="0.2">
      <c r="A66" s="504"/>
      <c r="B66" s="502"/>
      <c r="C66" s="498"/>
      <c r="D66" s="498"/>
      <c r="E66" s="498"/>
      <c r="F66" s="498"/>
      <c r="G66" s="498"/>
      <c r="H66" s="498"/>
      <c r="I66" s="498"/>
      <c r="J66" s="498"/>
      <c r="K66" s="498"/>
      <c r="L66" s="498"/>
      <c r="M66" s="498"/>
      <c r="N66" s="498"/>
      <c r="O66" s="498"/>
      <c r="P66" s="498"/>
      <c r="Q66" s="498"/>
      <c r="R66" s="498"/>
      <c r="S66" s="498"/>
      <c r="T66" s="498"/>
      <c r="U66" s="498"/>
      <c r="V66" s="498"/>
      <c r="W66" s="259"/>
      <c r="X66" s="116"/>
      <c r="Y66" s="116"/>
    </row>
    <row r="67" spans="1:25" s="116" customFormat="1" x14ac:dyDescent="0.2">
      <c r="A67" s="504"/>
      <c r="B67" s="502"/>
      <c r="C67" s="498"/>
      <c r="D67" s="498"/>
      <c r="E67" s="498"/>
      <c r="F67" s="498"/>
      <c r="G67" s="498"/>
      <c r="H67" s="498"/>
      <c r="I67" s="498"/>
      <c r="J67" s="498"/>
      <c r="K67" s="498"/>
      <c r="L67" s="498"/>
      <c r="M67" s="498"/>
      <c r="N67" s="498"/>
      <c r="O67" s="498"/>
      <c r="P67" s="498"/>
      <c r="Q67" s="498"/>
      <c r="R67" s="498"/>
      <c r="S67" s="498"/>
      <c r="T67" s="498"/>
      <c r="U67" s="498"/>
      <c r="V67" s="498"/>
      <c r="W67" s="259"/>
    </row>
    <row r="68" spans="1:25" s="116" customFormat="1" x14ac:dyDescent="0.2">
      <c r="A68" s="504"/>
      <c r="B68" s="502"/>
      <c r="C68" s="498"/>
      <c r="D68" s="498"/>
      <c r="E68" s="498"/>
      <c r="F68" s="498"/>
      <c r="G68" s="498"/>
      <c r="H68" s="498"/>
      <c r="I68" s="498"/>
      <c r="J68" s="498"/>
      <c r="K68" s="498"/>
      <c r="L68" s="498"/>
      <c r="M68" s="498"/>
      <c r="N68" s="498"/>
      <c r="O68" s="498"/>
      <c r="P68" s="498"/>
      <c r="Q68" s="498"/>
      <c r="R68" s="498"/>
      <c r="S68" s="498"/>
      <c r="T68" s="498"/>
      <c r="U68" s="498"/>
      <c r="V68" s="498"/>
      <c r="W68" s="259"/>
    </row>
    <row r="69" spans="1:25" s="116" customFormat="1" x14ac:dyDescent="0.2">
      <c r="A69" s="504"/>
      <c r="B69" s="502"/>
      <c r="C69" s="498"/>
      <c r="D69" s="498"/>
      <c r="E69" s="498"/>
      <c r="F69" s="498"/>
      <c r="G69" s="498"/>
      <c r="H69" s="498"/>
      <c r="I69" s="498"/>
      <c r="J69" s="498"/>
      <c r="K69" s="498"/>
      <c r="L69" s="498"/>
      <c r="M69" s="498"/>
      <c r="N69" s="498"/>
      <c r="O69" s="498"/>
      <c r="P69" s="498"/>
      <c r="Q69" s="498"/>
      <c r="R69" s="498"/>
      <c r="S69" s="498"/>
      <c r="T69" s="498"/>
      <c r="U69" s="498"/>
      <c r="V69" s="498"/>
      <c r="W69" s="259"/>
    </row>
    <row r="70" spans="1:25" s="116" customFormat="1" x14ac:dyDescent="0.2">
      <c r="A70" s="504"/>
      <c r="B70" s="502"/>
      <c r="C70" s="498"/>
      <c r="D70" s="498"/>
      <c r="E70" s="498"/>
      <c r="F70" s="498"/>
      <c r="G70" s="498"/>
      <c r="H70" s="498"/>
      <c r="I70" s="498"/>
      <c r="J70" s="498"/>
      <c r="K70" s="498"/>
      <c r="L70" s="498"/>
      <c r="M70" s="498"/>
      <c r="N70" s="498"/>
      <c r="O70" s="498"/>
      <c r="P70" s="498"/>
      <c r="Q70" s="498"/>
      <c r="R70" s="498"/>
      <c r="S70" s="498"/>
      <c r="T70" s="498"/>
      <c r="U70" s="498"/>
      <c r="V70" s="498"/>
      <c r="W70" s="259"/>
    </row>
    <row r="71" spans="1:25" s="116" customFormat="1" x14ac:dyDescent="0.2">
      <c r="A71" s="504"/>
      <c r="B71" s="502"/>
      <c r="C71" s="498"/>
      <c r="D71" s="498"/>
      <c r="E71" s="498"/>
      <c r="F71" s="498"/>
      <c r="G71" s="498"/>
      <c r="H71" s="498"/>
      <c r="I71" s="498"/>
      <c r="J71" s="498"/>
      <c r="K71" s="498"/>
      <c r="L71" s="498"/>
      <c r="M71" s="498"/>
      <c r="N71" s="498"/>
      <c r="O71" s="498"/>
      <c r="P71" s="498"/>
      <c r="Q71" s="498"/>
      <c r="R71" s="498"/>
      <c r="S71" s="498"/>
      <c r="T71" s="498"/>
      <c r="U71" s="498"/>
      <c r="V71" s="498"/>
      <c r="W71" s="259"/>
    </row>
    <row r="72" spans="1:25" s="116" customFormat="1" x14ac:dyDescent="0.2">
      <c r="A72" s="504"/>
      <c r="B72" s="502"/>
      <c r="C72" s="498"/>
      <c r="D72" s="498"/>
      <c r="E72" s="498"/>
      <c r="F72" s="498"/>
      <c r="G72" s="498"/>
      <c r="H72" s="498"/>
      <c r="I72" s="498"/>
      <c r="J72" s="498"/>
      <c r="K72" s="498"/>
      <c r="L72" s="498"/>
      <c r="M72" s="498"/>
      <c r="N72" s="498"/>
      <c r="O72" s="498"/>
      <c r="P72" s="498"/>
      <c r="Q72" s="498"/>
      <c r="R72" s="498"/>
      <c r="S72" s="498"/>
      <c r="T72" s="498"/>
      <c r="U72" s="498"/>
      <c r="V72" s="498"/>
      <c r="W72" s="259"/>
    </row>
    <row r="73" spans="1:25" s="116" customFormat="1" x14ac:dyDescent="0.2">
      <c r="A73" s="504"/>
      <c r="B73" s="502"/>
      <c r="C73" s="498"/>
      <c r="D73" s="498"/>
      <c r="E73" s="498"/>
      <c r="F73" s="498"/>
      <c r="G73" s="498"/>
      <c r="H73" s="498"/>
      <c r="I73" s="498"/>
      <c r="J73" s="498"/>
      <c r="K73" s="498"/>
      <c r="L73" s="498"/>
      <c r="M73" s="498"/>
      <c r="N73" s="498"/>
      <c r="O73" s="498"/>
      <c r="P73" s="498"/>
      <c r="Q73" s="498"/>
      <c r="R73" s="498"/>
      <c r="S73" s="498"/>
      <c r="T73" s="498"/>
      <c r="U73" s="498"/>
      <c r="V73" s="498"/>
      <c r="W73" s="259"/>
    </row>
    <row r="74" spans="1:25" s="116" customFormat="1" x14ac:dyDescent="0.2">
      <c r="A74" s="504"/>
      <c r="B74" s="502"/>
      <c r="C74" s="498"/>
      <c r="D74" s="498"/>
      <c r="E74" s="498"/>
      <c r="F74" s="498"/>
      <c r="G74" s="498"/>
      <c r="H74" s="498"/>
      <c r="I74" s="498"/>
      <c r="J74" s="498"/>
      <c r="K74" s="498"/>
      <c r="L74" s="498"/>
      <c r="M74" s="498"/>
      <c r="N74" s="498"/>
      <c r="O74" s="498"/>
      <c r="P74" s="498"/>
      <c r="Q74" s="498"/>
      <c r="R74" s="498"/>
      <c r="S74" s="498"/>
      <c r="T74" s="498"/>
      <c r="U74" s="498"/>
      <c r="V74" s="498"/>
      <c r="W74" s="259"/>
      <c r="X74" s="259"/>
    </row>
    <row r="75" spans="1:25" s="116" customFormat="1" x14ac:dyDescent="0.2">
      <c r="A75" s="504"/>
      <c r="B75" s="502"/>
      <c r="C75" s="498"/>
      <c r="D75" s="498"/>
      <c r="E75" s="498"/>
      <c r="F75" s="498"/>
      <c r="G75" s="498"/>
      <c r="H75" s="498"/>
      <c r="I75" s="498"/>
      <c r="J75" s="498"/>
      <c r="K75" s="498"/>
      <c r="L75" s="498"/>
      <c r="M75" s="498"/>
      <c r="N75" s="498"/>
      <c r="O75" s="498"/>
      <c r="P75" s="498"/>
      <c r="Q75" s="498"/>
      <c r="R75" s="498"/>
      <c r="S75" s="498"/>
      <c r="T75" s="498"/>
      <c r="U75" s="498"/>
      <c r="V75" s="498"/>
      <c r="W75" s="259"/>
      <c r="X75" s="259"/>
    </row>
    <row r="76" spans="1:25" s="116" customFormat="1" x14ac:dyDescent="0.2">
      <c r="A76" s="504"/>
      <c r="B76" s="502"/>
      <c r="C76" s="498"/>
      <c r="D76" s="498"/>
      <c r="E76" s="498"/>
      <c r="F76" s="498"/>
      <c r="G76" s="498"/>
      <c r="H76" s="498"/>
      <c r="I76" s="498"/>
      <c r="J76" s="498"/>
      <c r="K76" s="498"/>
      <c r="L76" s="498"/>
      <c r="M76" s="498"/>
      <c r="N76" s="498"/>
      <c r="O76" s="498"/>
      <c r="P76" s="498"/>
      <c r="Q76" s="498"/>
      <c r="R76" s="498"/>
      <c r="S76" s="498"/>
      <c r="T76" s="498"/>
      <c r="U76" s="498"/>
      <c r="V76" s="498"/>
      <c r="W76" s="259"/>
      <c r="X76" s="259"/>
    </row>
    <row r="77" spans="1:25" s="116" customFormat="1" x14ac:dyDescent="0.2">
      <c r="A77" s="504"/>
      <c r="B77" s="502"/>
      <c r="C77" s="498"/>
      <c r="D77" s="498"/>
      <c r="E77" s="498"/>
      <c r="F77" s="498"/>
      <c r="G77" s="498"/>
      <c r="H77" s="498"/>
      <c r="I77" s="498"/>
      <c r="J77" s="498"/>
      <c r="K77" s="498"/>
      <c r="L77" s="498"/>
      <c r="M77" s="498"/>
      <c r="N77" s="498"/>
      <c r="O77" s="498"/>
      <c r="P77" s="498"/>
      <c r="Q77" s="498"/>
      <c r="R77" s="498"/>
      <c r="S77" s="498"/>
      <c r="T77" s="498"/>
      <c r="U77" s="498"/>
      <c r="V77" s="498"/>
      <c r="W77" s="259"/>
    </row>
    <row r="78" spans="1:25" s="116" customFormat="1" x14ac:dyDescent="0.2">
      <c r="A78" s="504"/>
      <c r="B78" s="502"/>
      <c r="C78" s="498"/>
      <c r="D78" s="498"/>
      <c r="E78" s="498"/>
      <c r="F78" s="498"/>
      <c r="G78" s="498"/>
      <c r="H78" s="498"/>
      <c r="I78" s="498"/>
      <c r="J78" s="498"/>
      <c r="K78" s="498"/>
      <c r="L78" s="498"/>
      <c r="M78" s="498"/>
      <c r="N78" s="498"/>
      <c r="O78" s="498"/>
      <c r="P78" s="498"/>
      <c r="Q78" s="498"/>
      <c r="R78" s="498"/>
      <c r="S78" s="498"/>
      <c r="T78" s="498"/>
      <c r="U78" s="498"/>
      <c r="V78" s="498"/>
      <c r="W78" s="259"/>
    </row>
    <row r="79" spans="1:25" s="116" customFormat="1" x14ac:dyDescent="0.2">
      <c r="A79" s="504"/>
      <c r="B79" s="502"/>
      <c r="C79" s="498"/>
      <c r="D79" s="498"/>
      <c r="E79" s="498"/>
      <c r="F79" s="498"/>
      <c r="G79" s="498"/>
      <c r="H79" s="498"/>
      <c r="I79" s="498"/>
      <c r="J79" s="498"/>
      <c r="K79" s="498"/>
      <c r="L79" s="498"/>
      <c r="M79" s="498"/>
      <c r="N79" s="498"/>
      <c r="O79" s="498"/>
      <c r="P79" s="498"/>
      <c r="Q79" s="498"/>
      <c r="R79" s="498"/>
      <c r="S79" s="498"/>
      <c r="T79" s="498"/>
      <c r="U79" s="498"/>
      <c r="V79" s="498"/>
      <c r="W79" s="259"/>
    </row>
    <row r="80" spans="1:25" s="116" customFormat="1" x14ac:dyDescent="0.2">
      <c r="A80" s="504"/>
      <c r="B80" s="502"/>
      <c r="C80" s="498"/>
      <c r="D80" s="498"/>
      <c r="E80" s="498"/>
      <c r="F80" s="498"/>
      <c r="G80" s="498"/>
      <c r="H80" s="498"/>
      <c r="I80" s="498"/>
      <c r="J80" s="498"/>
      <c r="K80" s="498"/>
      <c r="L80" s="498"/>
      <c r="M80" s="498"/>
      <c r="N80" s="498"/>
      <c r="O80" s="498"/>
      <c r="P80" s="498"/>
      <c r="Q80" s="498"/>
      <c r="R80" s="498"/>
      <c r="S80" s="498"/>
      <c r="T80" s="498"/>
      <c r="U80" s="498"/>
      <c r="V80" s="498"/>
      <c r="W80" s="259"/>
    </row>
    <row r="81" spans="1:23" s="116" customFormat="1" x14ac:dyDescent="0.2">
      <c r="A81" s="504"/>
      <c r="B81" s="502"/>
      <c r="C81" s="498"/>
      <c r="D81" s="498"/>
      <c r="E81" s="498"/>
      <c r="F81" s="498"/>
      <c r="G81" s="498"/>
      <c r="H81" s="498"/>
      <c r="I81" s="498"/>
      <c r="J81" s="498"/>
      <c r="K81" s="498"/>
      <c r="L81" s="498"/>
      <c r="M81" s="498"/>
      <c r="N81" s="498"/>
      <c r="O81" s="498"/>
      <c r="P81" s="498"/>
      <c r="Q81" s="498"/>
      <c r="R81" s="498"/>
      <c r="S81" s="498"/>
      <c r="T81" s="498"/>
      <c r="U81" s="498"/>
      <c r="V81" s="498"/>
      <c r="W81" s="259"/>
    </row>
    <row r="82" spans="1:23" s="116" customFormat="1" x14ac:dyDescent="0.2">
      <c r="A82" s="504"/>
      <c r="B82" s="502"/>
      <c r="C82" s="498"/>
      <c r="D82" s="498"/>
      <c r="E82" s="498"/>
      <c r="F82" s="498"/>
      <c r="G82" s="498"/>
      <c r="H82" s="498"/>
      <c r="I82" s="498"/>
      <c r="J82" s="498"/>
      <c r="K82" s="498"/>
      <c r="L82" s="498"/>
      <c r="M82" s="498"/>
      <c r="N82" s="498"/>
      <c r="O82" s="498"/>
      <c r="P82" s="498"/>
      <c r="Q82" s="498"/>
      <c r="R82" s="498"/>
      <c r="S82" s="498"/>
      <c r="T82" s="498"/>
      <c r="U82" s="498"/>
      <c r="V82" s="498"/>
      <c r="W82" s="259"/>
    </row>
    <row r="83" spans="1:23" s="116" customFormat="1" x14ac:dyDescent="0.2">
      <c r="A83" s="504"/>
      <c r="B83" s="502"/>
      <c r="C83" s="498"/>
      <c r="D83" s="498"/>
      <c r="E83" s="498"/>
      <c r="F83" s="498"/>
      <c r="G83" s="498"/>
      <c r="H83" s="498"/>
      <c r="I83" s="498"/>
      <c r="J83" s="498"/>
      <c r="K83" s="498"/>
      <c r="L83" s="498"/>
      <c r="M83" s="498"/>
      <c r="N83" s="498"/>
      <c r="O83" s="498"/>
      <c r="P83" s="498"/>
      <c r="Q83" s="498"/>
      <c r="R83" s="498"/>
      <c r="S83" s="498"/>
      <c r="T83" s="498"/>
      <c r="U83" s="498"/>
      <c r="V83" s="498"/>
      <c r="W83" s="259"/>
    </row>
    <row r="84" spans="1:23" s="116" customFormat="1" x14ac:dyDescent="0.2">
      <c r="A84" s="502"/>
      <c r="B84" s="502"/>
      <c r="C84" s="498"/>
      <c r="D84" s="498"/>
      <c r="E84" s="498"/>
      <c r="F84" s="498"/>
      <c r="G84" s="498"/>
      <c r="H84" s="498"/>
      <c r="I84" s="498"/>
      <c r="J84" s="498"/>
      <c r="K84" s="498"/>
      <c r="L84" s="498"/>
      <c r="M84" s="498"/>
      <c r="N84" s="498"/>
      <c r="O84" s="498"/>
      <c r="P84" s="498"/>
      <c r="Q84" s="498"/>
      <c r="R84" s="498"/>
      <c r="S84" s="498"/>
      <c r="T84" s="498"/>
      <c r="U84" s="498"/>
      <c r="V84" s="498"/>
      <c r="W84" s="259"/>
    </row>
    <row r="85" spans="1:23" s="116" customFormat="1" ht="4.5" customHeight="1" x14ac:dyDescent="0.2">
      <c r="A85" s="502"/>
      <c r="B85" s="502"/>
      <c r="C85" s="498"/>
      <c r="D85" s="498"/>
      <c r="E85" s="498"/>
      <c r="F85" s="498"/>
      <c r="G85" s="498"/>
      <c r="H85" s="498"/>
      <c r="I85" s="498"/>
      <c r="J85" s="498"/>
      <c r="K85" s="498"/>
      <c r="L85" s="498"/>
      <c r="M85" s="498"/>
      <c r="N85" s="498"/>
      <c r="O85" s="498"/>
      <c r="P85" s="498"/>
      <c r="Q85" s="498"/>
      <c r="R85" s="498"/>
      <c r="S85" s="498"/>
      <c r="T85" s="498"/>
      <c r="U85" s="498"/>
      <c r="V85" s="498"/>
      <c r="W85" s="259"/>
    </row>
    <row r="86" spans="1:23" s="116" customFormat="1" hidden="1" x14ac:dyDescent="0.2">
      <c r="A86" s="264"/>
      <c r="B86" s="264"/>
      <c r="C86" s="259"/>
      <c r="D86" s="259"/>
      <c r="E86" s="259"/>
      <c r="F86" s="259"/>
      <c r="G86" s="259"/>
      <c r="H86" s="259"/>
      <c r="I86" s="259"/>
      <c r="J86" s="259"/>
      <c r="K86" s="259"/>
      <c r="L86" s="259"/>
      <c r="M86" s="259"/>
      <c r="N86" s="259"/>
      <c r="O86" s="259"/>
      <c r="P86" s="259"/>
      <c r="Q86" s="259"/>
      <c r="R86" s="259"/>
      <c r="S86" s="259"/>
      <c r="T86" s="259"/>
      <c r="U86" s="259"/>
      <c r="V86" s="259"/>
      <c r="W86" s="259"/>
    </row>
    <row r="87" spans="1:23" s="116" customFormat="1" hidden="1" x14ac:dyDescent="0.2">
      <c r="A87" s="264"/>
      <c r="B87" s="264"/>
      <c r="C87" s="259"/>
      <c r="D87" s="259"/>
      <c r="E87" s="259"/>
      <c r="F87" s="259"/>
      <c r="G87" s="259"/>
      <c r="H87" s="259"/>
      <c r="I87" s="259"/>
      <c r="J87" s="259"/>
      <c r="K87" s="259"/>
      <c r="L87" s="259"/>
      <c r="M87" s="259"/>
      <c r="N87" s="259"/>
      <c r="O87" s="259"/>
      <c r="P87" s="259"/>
      <c r="Q87" s="259"/>
      <c r="R87" s="259"/>
      <c r="S87" s="259"/>
      <c r="T87" s="259"/>
      <c r="U87" s="259"/>
      <c r="V87" s="259"/>
      <c r="W87" s="259"/>
    </row>
    <row r="88" spans="1:23" s="116" customFormat="1" hidden="1" x14ac:dyDescent="0.2">
      <c r="A88" s="264"/>
      <c r="B88" s="264"/>
      <c r="C88" s="259"/>
      <c r="D88" s="259"/>
      <c r="E88" s="259"/>
      <c r="F88" s="259"/>
      <c r="G88" s="259"/>
      <c r="H88" s="259"/>
      <c r="I88" s="259"/>
      <c r="J88" s="259"/>
      <c r="K88" s="259"/>
      <c r="L88" s="259"/>
      <c r="M88" s="259"/>
      <c r="N88" s="259"/>
      <c r="O88" s="259"/>
      <c r="P88" s="259"/>
      <c r="Q88" s="259"/>
      <c r="R88" s="259"/>
      <c r="S88" s="259"/>
      <c r="T88" s="259"/>
      <c r="U88" s="259"/>
      <c r="V88" s="259"/>
      <c r="W88" s="259"/>
    </row>
    <row r="89" spans="1:23" s="116" customFormat="1" hidden="1" x14ac:dyDescent="0.2">
      <c r="A89" s="264"/>
      <c r="B89" s="264"/>
      <c r="C89" s="259"/>
      <c r="D89" s="259"/>
      <c r="E89" s="259"/>
      <c r="F89" s="259"/>
      <c r="G89" s="259"/>
      <c r="H89" s="259"/>
      <c r="I89" s="259"/>
      <c r="J89" s="259"/>
      <c r="K89" s="259"/>
      <c r="L89" s="259"/>
      <c r="Q89" s="259"/>
      <c r="R89" s="259"/>
      <c r="S89" s="259"/>
      <c r="T89" s="259"/>
      <c r="U89" s="259"/>
      <c r="V89" s="259"/>
      <c r="W89" s="259"/>
    </row>
    <row r="90" spans="1:23" s="116" customFormat="1" hidden="1" x14ac:dyDescent="0.2">
      <c r="A90" s="264"/>
      <c r="B90" s="264"/>
      <c r="C90" s="259"/>
      <c r="D90" s="259"/>
      <c r="E90" s="259"/>
      <c r="F90" s="259"/>
      <c r="G90" s="259"/>
      <c r="H90" s="259"/>
      <c r="I90" s="259"/>
      <c r="J90" s="259"/>
      <c r="K90" s="259"/>
      <c r="L90" s="259"/>
      <c r="Q90" s="259"/>
      <c r="R90" s="259"/>
      <c r="S90" s="259"/>
      <c r="T90" s="259"/>
      <c r="U90" s="259"/>
      <c r="V90" s="259"/>
      <c r="W90" s="259"/>
    </row>
    <row r="91" spans="1:23" s="116" customFormat="1" hidden="1" x14ac:dyDescent="0.2">
      <c r="A91" s="264"/>
      <c r="B91" s="264"/>
      <c r="C91" s="259"/>
      <c r="D91" s="259"/>
      <c r="E91" s="259"/>
      <c r="F91" s="259"/>
      <c r="G91" s="259"/>
      <c r="H91" s="259"/>
      <c r="I91" s="259"/>
      <c r="J91" s="259"/>
      <c r="K91" s="259"/>
      <c r="L91" s="259"/>
      <c r="Q91" s="259"/>
      <c r="R91" s="259"/>
      <c r="S91" s="259"/>
      <c r="T91" s="259"/>
      <c r="U91" s="259"/>
      <c r="V91" s="259"/>
      <c r="W91" s="259"/>
    </row>
    <row r="92" spans="1:23" s="116" customFormat="1" x14ac:dyDescent="0.2">
      <c r="A92" s="264"/>
      <c r="B92" s="264"/>
      <c r="C92" s="259"/>
      <c r="D92" s="259"/>
      <c r="E92" s="259"/>
      <c r="F92" s="259"/>
      <c r="G92" s="259"/>
      <c r="H92" s="259"/>
      <c r="I92" s="259"/>
      <c r="J92" s="259"/>
      <c r="K92" s="259"/>
      <c r="L92" s="259"/>
      <c r="Q92" s="259"/>
      <c r="R92" s="259"/>
      <c r="S92" s="259"/>
      <c r="T92" s="259"/>
      <c r="U92" s="259"/>
      <c r="V92" s="259"/>
      <c r="W92" s="259"/>
    </row>
    <row r="93" spans="1:23" s="116" customFormat="1" x14ac:dyDescent="0.2">
      <c r="A93" s="264"/>
      <c r="B93" s="264"/>
      <c r="C93" s="259"/>
      <c r="D93" s="259"/>
      <c r="E93" s="259"/>
      <c r="F93" s="259"/>
      <c r="G93" s="259"/>
      <c r="H93" s="259"/>
      <c r="I93" s="259"/>
      <c r="J93" s="259"/>
      <c r="K93" s="259"/>
      <c r="L93" s="259"/>
      <c r="Q93" s="259"/>
      <c r="R93" s="259"/>
      <c r="S93" s="259"/>
      <c r="T93" s="259"/>
      <c r="U93" s="259"/>
      <c r="V93" s="259"/>
      <c r="W93" s="259"/>
    </row>
    <row r="94" spans="1:23" s="116" customFormat="1" x14ac:dyDescent="0.2">
      <c r="A94" s="264"/>
      <c r="B94" s="264"/>
      <c r="C94" s="259"/>
      <c r="D94" s="259"/>
      <c r="E94" s="259"/>
      <c r="F94" s="259"/>
      <c r="G94" s="259"/>
      <c r="H94" s="259"/>
      <c r="I94" s="259"/>
      <c r="J94" s="259"/>
      <c r="K94" s="259"/>
      <c r="L94" s="259"/>
      <c r="Q94" s="259"/>
      <c r="R94" s="259"/>
      <c r="S94" s="259"/>
      <c r="T94" s="259"/>
      <c r="U94" s="259"/>
      <c r="V94" s="259"/>
      <c r="W94" s="259"/>
    </row>
    <row r="95" spans="1:23" s="116" customFormat="1" x14ac:dyDescent="0.2">
      <c r="A95" s="264"/>
      <c r="B95" s="264"/>
      <c r="C95" s="259"/>
      <c r="D95" s="259"/>
      <c r="E95" s="259"/>
      <c r="F95" s="259"/>
      <c r="G95" s="259"/>
      <c r="H95" s="259"/>
      <c r="I95" s="259"/>
      <c r="J95" s="259"/>
      <c r="K95" s="259"/>
      <c r="L95" s="259"/>
      <c r="Q95" s="259"/>
      <c r="R95" s="259"/>
      <c r="S95" s="259"/>
      <c r="T95" s="259"/>
      <c r="U95" s="259"/>
      <c r="V95" s="259"/>
      <c r="W95" s="259"/>
    </row>
    <row r="96" spans="1:23" s="116" customFormat="1" x14ac:dyDescent="0.2">
      <c r="A96" s="264"/>
      <c r="B96" s="264"/>
      <c r="C96" s="259"/>
      <c r="D96" s="259"/>
      <c r="E96" s="259"/>
      <c r="F96" s="259"/>
      <c r="G96" s="259"/>
      <c r="H96" s="259"/>
      <c r="I96" s="259"/>
      <c r="J96" s="259"/>
      <c r="K96" s="259"/>
      <c r="L96" s="259"/>
      <c r="M96" s="259"/>
      <c r="N96" s="259"/>
      <c r="O96" s="259"/>
      <c r="P96" s="259"/>
      <c r="Q96" s="259"/>
      <c r="R96" s="259"/>
      <c r="S96" s="259"/>
      <c r="T96" s="259"/>
      <c r="U96" s="259"/>
      <c r="V96" s="259"/>
      <c r="W96" s="259"/>
    </row>
    <row r="97" spans="1:23" s="116" customFormat="1" x14ac:dyDescent="0.2">
      <c r="A97" s="264"/>
      <c r="B97" s="264"/>
      <c r="C97" s="259"/>
      <c r="D97" s="259"/>
      <c r="E97" s="259"/>
      <c r="F97" s="259"/>
      <c r="G97" s="259"/>
      <c r="H97" s="259"/>
      <c r="I97" s="259"/>
      <c r="J97" s="259"/>
      <c r="K97" s="259"/>
      <c r="L97" s="259"/>
      <c r="M97" s="259"/>
      <c r="N97" s="259"/>
      <c r="O97" s="259"/>
      <c r="P97" s="259"/>
      <c r="Q97" s="259"/>
      <c r="R97" s="259"/>
      <c r="S97" s="259"/>
      <c r="T97" s="259"/>
      <c r="U97" s="259"/>
      <c r="V97" s="259"/>
      <c r="W97" s="259"/>
    </row>
    <row r="98" spans="1:23" s="116" customFormat="1" x14ac:dyDescent="0.2">
      <c r="A98" s="264"/>
      <c r="B98" s="264"/>
      <c r="C98" s="259"/>
      <c r="D98" s="259"/>
      <c r="E98" s="259"/>
      <c r="F98" s="259"/>
      <c r="G98" s="259"/>
      <c r="H98" s="259"/>
      <c r="I98" s="259"/>
      <c r="J98" s="259"/>
      <c r="K98" s="259"/>
      <c r="L98" s="259"/>
      <c r="M98" s="259"/>
      <c r="N98" s="259"/>
      <c r="O98" s="259"/>
      <c r="P98" s="259"/>
      <c r="Q98" s="259"/>
      <c r="R98" s="259"/>
      <c r="S98" s="259"/>
      <c r="T98" s="259"/>
      <c r="U98" s="259"/>
      <c r="V98" s="259"/>
      <c r="W98" s="259"/>
    </row>
    <row r="99" spans="1:23" s="116" customFormat="1" x14ac:dyDescent="0.2">
      <c r="A99" s="264"/>
      <c r="B99" s="264"/>
      <c r="C99" s="259"/>
      <c r="D99" s="259"/>
      <c r="E99" s="259"/>
      <c r="F99" s="259"/>
      <c r="G99" s="259"/>
      <c r="H99" s="259"/>
      <c r="I99" s="259"/>
      <c r="J99" s="259"/>
      <c r="K99" s="259"/>
      <c r="L99" s="259"/>
      <c r="M99" s="259"/>
      <c r="N99" s="259"/>
      <c r="O99" s="259"/>
      <c r="P99" s="259"/>
      <c r="Q99" s="259"/>
      <c r="R99" s="259"/>
      <c r="S99" s="259"/>
      <c r="T99" s="259"/>
      <c r="U99" s="259"/>
      <c r="V99" s="259"/>
      <c r="W99" s="259"/>
    </row>
    <row r="100" spans="1:23" s="116" customFormat="1" x14ac:dyDescent="0.2">
      <c r="A100" s="264"/>
      <c r="B100" s="264"/>
      <c r="C100" s="259"/>
      <c r="D100" s="259"/>
      <c r="E100" s="259"/>
      <c r="F100" s="259"/>
      <c r="G100" s="259"/>
      <c r="H100" s="259"/>
      <c r="I100" s="259"/>
      <c r="J100" s="259"/>
      <c r="K100" s="259"/>
      <c r="L100" s="259"/>
      <c r="M100" s="259"/>
      <c r="N100" s="259"/>
      <c r="O100" s="259"/>
      <c r="P100" s="259"/>
      <c r="Q100" s="259"/>
      <c r="R100" s="259"/>
      <c r="S100" s="259"/>
      <c r="T100" s="259"/>
      <c r="U100" s="259"/>
      <c r="V100" s="259"/>
      <c r="W100" s="259"/>
    </row>
    <row r="101" spans="1:23" s="116" customFormat="1" x14ac:dyDescent="0.2">
      <c r="A101" s="264"/>
      <c r="B101" s="264"/>
      <c r="C101" s="259"/>
      <c r="D101" s="259"/>
      <c r="E101" s="259"/>
      <c r="F101" s="259"/>
      <c r="G101" s="259"/>
      <c r="H101" s="259"/>
      <c r="I101" s="259"/>
      <c r="J101" s="259"/>
      <c r="K101" s="259"/>
      <c r="L101" s="259"/>
      <c r="M101" s="259"/>
      <c r="N101" s="259"/>
      <c r="O101" s="259"/>
      <c r="P101" s="259"/>
      <c r="Q101" s="259"/>
      <c r="R101" s="259"/>
      <c r="S101" s="259"/>
      <c r="T101" s="259"/>
      <c r="U101" s="259"/>
      <c r="V101" s="259"/>
      <c r="W101" s="259"/>
    </row>
    <row r="102" spans="1:23" s="116" customFormat="1" x14ac:dyDescent="0.2">
      <c r="A102" s="264"/>
      <c r="B102" s="264"/>
      <c r="C102" s="259"/>
      <c r="D102" s="259"/>
      <c r="E102" s="259"/>
      <c r="F102" s="259"/>
      <c r="G102" s="259"/>
      <c r="H102" s="259"/>
      <c r="I102" s="259"/>
      <c r="J102" s="259"/>
      <c r="K102" s="259"/>
      <c r="L102" s="259"/>
      <c r="M102" s="259"/>
      <c r="N102" s="259"/>
      <c r="O102" s="259"/>
      <c r="P102" s="259"/>
      <c r="Q102" s="259"/>
      <c r="R102" s="259"/>
      <c r="S102" s="259"/>
      <c r="T102" s="259"/>
      <c r="U102" s="259"/>
      <c r="V102" s="259"/>
      <c r="W102" s="259"/>
    </row>
    <row r="103" spans="1:23" s="116" customFormat="1" x14ac:dyDescent="0.2">
      <c r="A103" s="264"/>
      <c r="B103" s="264"/>
      <c r="C103" s="259"/>
      <c r="D103" s="259"/>
      <c r="E103" s="259"/>
      <c r="F103" s="259"/>
      <c r="G103" s="259"/>
      <c r="H103" s="259"/>
      <c r="I103" s="259"/>
      <c r="J103" s="259"/>
      <c r="K103" s="259"/>
      <c r="L103" s="259"/>
      <c r="M103" s="259"/>
      <c r="N103" s="259"/>
      <c r="O103" s="259"/>
      <c r="P103" s="259"/>
      <c r="Q103" s="259"/>
      <c r="R103" s="259"/>
      <c r="S103" s="259"/>
      <c r="T103" s="259"/>
      <c r="U103" s="259"/>
      <c r="V103" s="259"/>
      <c r="W103" s="259"/>
    </row>
    <row r="104" spans="1:23" s="116" customFormat="1" x14ac:dyDescent="0.2">
      <c r="A104" s="264"/>
      <c r="B104" s="264"/>
      <c r="C104" s="259"/>
      <c r="D104" s="259"/>
      <c r="E104" s="259"/>
      <c r="F104" s="259"/>
      <c r="G104" s="259"/>
      <c r="H104" s="259"/>
      <c r="I104" s="259"/>
      <c r="J104" s="259"/>
      <c r="K104" s="259"/>
      <c r="L104" s="259"/>
      <c r="M104" s="259"/>
      <c r="N104" s="259"/>
      <c r="O104" s="259"/>
      <c r="P104" s="259"/>
      <c r="Q104" s="259"/>
      <c r="R104" s="259"/>
      <c r="S104" s="259"/>
      <c r="T104" s="259"/>
      <c r="U104" s="259"/>
      <c r="V104" s="259"/>
      <c r="W104" s="259"/>
    </row>
    <row r="105" spans="1:23" s="116" customFormat="1" x14ac:dyDescent="0.2">
      <c r="A105" s="264"/>
      <c r="B105" s="264"/>
      <c r="C105" s="259"/>
      <c r="D105" s="259"/>
      <c r="E105" s="259"/>
      <c r="F105" s="259"/>
      <c r="G105" s="259"/>
      <c r="H105" s="259"/>
      <c r="I105" s="259"/>
      <c r="J105" s="259"/>
      <c r="K105" s="259"/>
      <c r="L105" s="259"/>
      <c r="M105" s="259"/>
      <c r="N105" s="259"/>
      <c r="O105" s="259"/>
      <c r="P105" s="259"/>
      <c r="Q105" s="259"/>
      <c r="R105" s="259"/>
      <c r="S105" s="259"/>
      <c r="T105" s="259"/>
      <c r="U105" s="259"/>
      <c r="V105" s="259"/>
      <c r="W105" s="259"/>
    </row>
    <row r="106" spans="1:23" s="116" customFormat="1" x14ac:dyDescent="0.2">
      <c r="A106" s="264"/>
      <c r="B106" s="264"/>
      <c r="C106" s="259"/>
      <c r="D106" s="259"/>
      <c r="E106" s="259"/>
      <c r="F106" s="259"/>
      <c r="G106" s="259"/>
      <c r="H106" s="259"/>
      <c r="I106" s="259"/>
      <c r="J106" s="259"/>
      <c r="K106" s="259"/>
      <c r="L106" s="259"/>
      <c r="M106" s="259"/>
      <c r="N106" s="259"/>
      <c r="O106" s="259"/>
      <c r="P106" s="259"/>
      <c r="Q106" s="259"/>
      <c r="R106" s="259"/>
      <c r="S106" s="259"/>
      <c r="T106" s="259"/>
      <c r="U106" s="259"/>
      <c r="V106" s="259"/>
      <c r="W106" s="259"/>
    </row>
    <row r="107" spans="1:23" s="116" customFormat="1" x14ac:dyDescent="0.2">
      <c r="A107" s="264"/>
      <c r="B107" s="264"/>
      <c r="C107" s="259"/>
      <c r="D107" s="259"/>
      <c r="E107" s="259"/>
      <c r="F107" s="259"/>
      <c r="G107" s="259"/>
      <c r="H107" s="259"/>
      <c r="I107" s="259"/>
      <c r="J107" s="259"/>
      <c r="K107" s="259"/>
      <c r="L107" s="259"/>
      <c r="M107" s="259"/>
      <c r="N107" s="259"/>
      <c r="O107" s="259"/>
      <c r="P107" s="259"/>
      <c r="Q107" s="259"/>
      <c r="R107" s="259"/>
      <c r="S107" s="259"/>
      <c r="T107" s="259"/>
      <c r="U107" s="259"/>
      <c r="V107" s="259"/>
      <c r="W107" s="259"/>
    </row>
    <row r="108" spans="1:23" s="116" customFormat="1" x14ac:dyDescent="0.2">
      <c r="A108" s="264"/>
      <c r="B108" s="264"/>
      <c r="C108" s="259"/>
      <c r="D108" s="259"/>
      <c r="E108" s="259"/>
      <c r="F108" s="259"/>
      <c r="G108" s="259"/>
      <c r="H108" s="259"/>
      <c r="I108" s="259"/>
      <c r="J108" s="259"/>
      <c r="K108" s="259"/>
      <c r="L108" s="259"/>
      <c r="M108" s="259"/>
      <c r="N108" s="259"/>
      <c r="O108" s="259"/>
      <c r="P108" s="259"/>
      <c r="Q108" s="259"/>
      <c r="R108" s="259"/>
      <c r="S108" s="259"/>
      <c r="T108" s="259"/>
      <c r="U108" s="259"/>
      <c r="V108" s="259"/>
      <c r="W108" s="259"/>
    </row>
    <row r="109" spans="1:23" s="116" customFormat="1" x14ac:dyDescent="0.2">
      <c r="A109" s="264"/>
      <c r="B109" s="264"/>
      <c r="C109" s="259"/>
      <c r="D109" s="259"/>
      <c r="E109" s="259"/>
      <c r="F109" s="259"/>
      <c r="G109" s="259"/>
      <c r="H109" s="259"/>
      <c r="I109" s="259"/>
      <c r="J109" s="259"/>
      <c r="K109" s="259"/>
      <c r="L109" s="259"/>
      <c r="M109" s="259"/>
      <c r="N109" s="259"/>
      <c r="O109" s="259"/>
      <c r="P109" s="259"/>
      <c r="Q109" s="259"/>
      <c r="R109" s="259"/>
      <c r="S109" s="259"/>
      <c r="T109" s="259"/>
      <c r="U109" s="259"/>
      <c r="V109" s="259"/>
      <c r="W109" s="259"/>
    </row>
    <row r="110" spans="1:23" s="116" customFormat="1" x14ac:dyDescent="0.2">
      <c r="A110" s="264"/>
      <c r="B110" s="264"/>
      <c r="C110" s="259"/>
      <c r="D110" s="259"/>
      <c r="E110" s="259"/>
      <c r="F110" s="259"/>
      <c r="G110" s="259"/>
      <c r="H110" s="259"/>
      <c r="I110" s="259"/>
      <c r="J110" s="259"/>
      <c r="K110" s="259"/>
      <c r="L110" s="259"/>
      <c r="M110" s="259"/>
      <c r="N110" s="259"/>
      <c r="O110" s="259"/>
      <c r="P110" s="259"/>
      <c r="Q110" s="259"/>
      <c r="R110" s="259"/>
      <c r="S110" s="259"/>
      <c r="T110" s="259"/>
      <c r="U110" s="259"/>
      <c r="V110" s="259"/>
      <c r="W110" s="259"/>
    </row>
    <row r="111" spans="1:23" s="116" customFormat="1" x14ac:dyDescent="0.2">
      <c r="A111" s="264"/>
      <c r="B111" s="264"/>
      <c r="C111" s="259"/>
      <c r="D111" s="259"/>
      <c r="E111" s="259"/>
      <c r="F111" s="259"/>
      <c r="G111" s="259"/>
      <c r="H111" s="259"/>
      <c r="I111" s="259"/>
      <c r="J111" s="259"/>
      <c r="K111" s="259"/>
      <c r="L111" s="259"/>
      <c r="M111" s="259"/>
      <c r="N111" s="259"/>
      <c r="O111" s="259"/>
      <c r="P111" s="259"/>
      <c r="Q111" s="259"/>
      <c r="R111" s="259"/>
      <c r="S111" s="259"/>
      <c r="T111" s="259"/>
      <c r="U111" s="259"/>
      <c r="V111" s="259"/>
      <c r="W111" s="259"/>
    </row>
    <row r="112" spans="1:23" s="116" customFormat="1" x14ac:dyDescent="0.2">
      <c r="A112" s="264"/>
      <c r="B112" s="264"/>
      <c r="C112" s="259"/>
      <c r="D112" s="259"/>
      <c r="E112" s="259"/>
      <c r="F112" s="259"/>
      <c r="G112" s="259"/>
      <c r="H112" s="259"/>
      <c r="I112" s="259"/>
      <c r="J112" s="259"/>
      <c r="K112" s="259"/>
      <c r="L112" s="259"/>
      <c r="M112" s="259"/>
      <c r="N112" s="259"/>
      <c r="O112" s="259"/>
      <c r="P112" s="259"/>
      <c r="Q112" s="259"/>
      <c r="R112" s="259"/>
      <c r="S112" s="259"/>
      <c r="T112" s="259"/>
      <c r="U112" s="259"/>
      <c r="V112" s="259"/>
      <c r="W112" s="259"/>
    </row>
    <row r="113" spans="1:25" s="116" customFormat="1" x14ac:dyDescent="0.2">
      <c r="A113" s="264"/>
      <c r="B113" s="264"/>
      <c r="C113" s="259"/>
      <c r="D113" s="259"/>
      <c r="E113" s="259"/>
      <c r="F113" s="259"/>
      <c r="G113" s="259"/>
      <c r="H113" s="259"/>
      <c r="I113" s="259"/>
      <c r="J113" s="259"/>
      <c r="K113" s="259"/>
      <c r="L113" s="259"/>
      <c r="M113" s="259"/>
      <c r="N113" s="259"/>
      <c r="O113" s="259"/>
      <c r="P113" s="259"/>
      <c r="Q113" s="259"/>
      <c r="R113" s="259"/>
      <c r="S113" s="259"/>
      <c r="T113" s="259"/>
      <c r="U113" s="259"/>
      <c r="V113" s="259"/>
      <c r="W113" s="259"/>
    </row>
    <row r="114" spans="1:25" s="116" customFormat="1" x14ac:dyDescent="0.2">
      <c r="A114" s="264"/>
      <c r="B114" s="264"/>
      <c r="C114" s="259"/>
      <c r="D114" s="259"/>
      <c r="E114" s="259"/>
      <c r="F114" s="259"/>
      <c r="G114" s="259"/>
      <c r="H114" s="259"/>
      <c r="I114" s="259"/>
      <c r="J114" s="259"/>
      <c r="K114" s="259"/>
      <c r="L114" s="259"/>
      <c r="M114" s="259"/>
      <c r="N114" s="259"/>
      <c r="O114" s="259"/>
      <c r="P114" s="259"/>
      <c r="Q114" s="259"/>
      <c r="R114" s="259"/>
      <c r="S114" s="259"/>
      <c r="T114" s="259"/>
      <c r="U114" s="259"/>
      <c r="V114" s="259"/>
      <c r="W114" s="259"/>
    </row>
    <row r="115" spans="1:25" s="116" customFormat="1" x14ac:dyDescent="0.2">
      <c r="A115" s="264"/>
      <c r="B115" s="264"/>
      <c r="C115" s="259"/>
      <c r="D115" s="259"/>
      <c r="E115" s="259"/>
      <c r="F115" s="259"/>
      <c r="G115" s="259"/>
      <c r="H115" s="259"/>
      <c r="I115" s="259"/>
      <c r="J115" s="259"/>
      <c r="K115" s="259"/>
      <c r="L115" s="259"/>
      <c r="M115" s="259"/>
      <c r="N115" s="259"/>
      <c r="O115" s="259"/>
      <c r="P115" s="259"/>
      <c r="Q115" s="259"/>
      <c r="R115" s="259"/>
      <c r="S115" s="259"/>
      <c r="T115" s="259"/>
      <c r="U115" s="259"/>
      <c r="V115" s="259"/>
      <c r="W115" s="259"/>
    </row>
    <row r="116" spans="1:25" s="116" customFormat="1" x14ac:dyDescent="0.2">
      <c r="A116" s="264"/>
      <c r="B116" s="264"/>
      <c r="C116" s="259"/>
      <c r="D116" s="259"/>
      <c r="E116" s="259"/>
      <c r="F116" s="259"/>
      <c r="G116" s="259"/>
      <c r="H116" s="259"/>
      <c r="I116" s="259"/>
      <c r="J116" s="259"/>
      <c r="K116" s="259"/>
      <c r="L116" s="259"/>
      <c r="M116" s="259"/>
      <c r="N116" s="259"/>
      <c r="O116" s="259"/>
      <c r="P116" s="259"/>
      <c r="Q116" s="259"/>
      <c r="R116" s="259"/>
      <c r="S116" s="259"/>
      <c r="T116" s="259"/>
      <c r="U116" s="259"/>
      <c r="V116" s="259"/>
      <c r="W116" s="259"/>
    </row>
    <row r="117" spans="1:25" s="116" customFormat="1" x14ac:dyDescent="0.2">
      <c r="A117" s="264"/>
      <c r="B117" s="264"/>
      <c r="C117" s="259"/>
      <c r="D117" s="259"/>
      <c r="E117" s="259"/>
      <c r="F117" s="259"/>
      <c r="G117" s="259"/>
      <c r="H117" s="259"/>
      <c r="I117" s="259"/>
      <c r="J117" s="259"/>
      <c r="K117" s="259"/>
      <c r="L117" s="259"/>
      <c r="M117" s="259"/>
      <c r="N117" s="259"/>
      <c r="O117" s="259"/>
      <c r="P117" s="259"/>
      <c r="Q117" s="259"/>
      <c r="R117" s="259"/>
      <c r="S117" s="259"/>
      <c r="T117" s="259"/>
      <c r="U117" s="259"/>
      <c r="V117" s="259"/>
      <c r="W117" s="259"/>
    </row>
    <row r="118" spans="1:25" s="116" customFormat="1" x14ac:dyDescent="0.2">
      <c r="A118" s="264"/>
      <c r="B118" s="264"/>
      <c r="C118" s="259"/>
      <c r="D118" s="259"/>
      <c r="E118" s="259"/>
      <c r="F118" s="259"/>
      <c r="G118" s="259"/>
      <c r="H118" s="259"/>
      <c r="I118" s="259"/>
      <c r="J118" s="259"/>
      <c r="K118" s="259"/>
      <c r="L118" s="259"/>
      <c r="M118" s="259"/>
      <c r="N118" s="259"/>
      <c r="O118" s="259"/>
      <c r="P118" s="259"/>
      <c r="Q118" s="259"/>
      <c r="R118" s="259"/>
      <c r="S118" s="259"/>
      <c r="T118" s="259"/>
      <c r="U118" s="259"/>
      <c r="V118" s="259"/>
      <c r="W118" s="259"/>
    </row>
    <row r="119" spans="1:25" s="116" customFormat="1" x14ac:dyDescent="0.2">
      <c r="A119" s="264"/>
      <c r="B119" s="264"/>
      <c r="C119" s="259"/>
      <c r="D119" s="259"/>
      <c r="E119" s="259"/>
      <c r="F119" s="259"/>
      <c r="G119" s="259"/>
      <c r="H119" s="259"/>
      <c r="I119" s="259"/>
      <c r="J119" s="259"/>
      <c r="K119" s="259"/>
      <c r="L119" s="259"/>
      <c r="M119" s="259"/>
      <c r="N119" s="259"/>
      <c r="O119" s="259"/>
      <c r="P119" s="259"/>
      <c r="Q119" s="259"/>
      <c r="R119" s="259"/>
      <c r="S119" s="259"/>
      <c r="T119" s="259"/>
      <c r="U119" s="259"/>
      <c r="V119" s="259"/>
      <c r="W119" s="259"/>
    </row>
    <row r="120" spans="1:25" s="116" customFormat="1" x14ac:dyDescent="0.2">
      <c r="A120" s="264"/>
      <c r="B120" s="264"/>
      <c r="C120" s="259"/>
      <c r="D120" s="259"/>
      <c r="E120" s="259"/>
      <c r="F120" s="259"/>
      <c r="G120" s="259"/>
      <c r="H120" s="259"/>
      <c r="I120" s="259"/>
      <c r="J120" s="259"/>
      <c r="K120" s="259"/>
      <c r="L120" s="259"/>
      <c r="M120" s="259"/>
      <c r="N120" s="259"/>
      <c r="O120" s="259"/>
      <c r="P120" s="259"/>
      <c r="Q120" s="259"/>
      <c r="R120" s="259"/>
      <c r="S120" s="259"/>
      <c r="T120" s="259"/>
      <c r="U120" s="259"/>
      <c r="V120" s="259"/>
      <c r="W120" s="259"/>
    </row>
    <row r="121" spans="1:25" x14ac:dyDescent="0.2">
      <c r="A121" s="264"/>
      <c r="B121" s="264"/>
      <c r="C121" s="2"/>
      <c r="D121" s="2"/>
      <c r="E121" s="2"/>
      <c r="F121" s="2"/>
      <c r="G121" s="2"/>
      <c r="H121" s="2"/>
      <c r="I121" s="2"/>
      <c r="J121" s="2"/>
      <c r="K121" s="2"/>
      <c r="L121" s="2"/>
      <c r="M121" s="2"/>
      <c r="N121" s="2"/>
      <c r="O121" s="2"/>
      <c r="P121" s="2"/>
      <c r="Q121" s="2"/>
      <c r="R121" s="2"/>
      <c r="S121" s="2"/>
      <c r="T121" s="2"/>
      <c r="U121" s="2"/>
      <c r="V121" s="259"/>
      <c r="W121" s="259"/>
      <c r="X121" s="116"/>
      <c r="Y121" s="116"/>
    </row>
    <row r="122" spans="1:25" x14ac:dyDescent="0.2">
      <c r="A122" s="264"/>
      <c r="B122" s="264"/>
      <c r="C122" s="2"/>
      <c r="D122" s="2"/>
      <c r="E122" s="2"/>
      <c r="F122" s="2"/>
      <c r="G122" s="2"/>
      <c r="H122" s="2"/>
      <c r="I122" s="2"/>
      <c r="J122" s="2"/>
      <c r="K122" s="2"/>
      <c r="L122" s="2"/>
      <c r="M122" s="2"/>
      <c r="N122" s="2"/>
      <c r="O122" s="2"/>
      <c r="P122" s="2"/>
      <c r="Q122" s="2"/>
      <c r="R122" s="2"/>
      <c r="S122" s="2"/>
      <c r="T122" s="2"/>
      <c r="U122" s="2"/>
      <c r="V122" s="259"/>
      <c r="W122" s="259"/>
      <c r="X122" s="116"/>
      <c r="Y122" s="116"/>
    </row>
    <row r="123" spans="1:25" x14ac:dyDescent="0.2">
      <c r="A123" s="264"/>
      <c r="B123" s="264"/>
      <c r="C123" s="2"/>
      <c r="D123" s="2"/>
      <c r="E123" s="2"/>
      <c r="F123" s="2"/>
      <c r="G123" s="2"/>
      <c r="H123" s="2"/>
      <c r="I123" s="2"/>
      <c r="J123" s="2"/>
      <c r="K123" s="2"/>
      <c r="L123" s="2"/>
      <c r="M123" s="2"/>
      <c r="N123" s="2"/>
      <c r="O123" s="2"/>
      <c r="P123" s="2"/>
      <c r="Q123" s="2"/>
      <c r="R123" s="2"/>
      <c r="S123" s="2"/>
      <c r="T123" s="2"/>
      <c r="U123" s="2"/>
      <c r="V123" s="259"/>
      <c r="W123" s="259"/>
      <c r="X123" s="116"/>
      <c r="Y123" s="116"/>
    </row>
    <row r="124" spans="1:25" x14ac:dyDescent="0.2">
      <c r="A124" s="264"/>
      <c r="B124" s="264"/>
      <c r="C124" s="2"/>
      <c r="D124" s="2"/>
      <c r="E124" s="2"/>
      <c r="F124" s="2"/>
      <c r="G124" s="2"/>
      <c r="H124" s="2"/>
      <c r="I124" s="2"/>
      <c r="J124" s="2"/>
      <c r="K124" s="2"/>
      <c r="L124" s="2"/>
      <c r="M124" s="2"/>
      <c r="N124" s="2"/>
      <c r="O124" s="2"/>
      <c r="P124" s="2"/>
      <c r="Q124" s="2"/>
      <c r="R124" s="2"/>
      <c r="S124" s="2"/>
      <c r="T124" s="2"/>
      <c r="U124" s="2"/>
      <c r="V124" s="259"/>
      <c r="W124" s="259"/>
      <c r="X124" s="116"/>
      <c r="Y124" s="116"/>
    </row>
    <row r="125" spans="1:25" x14ac:dyDescent="0.2">
      <c r="A125" s="264"/>
      <c r="B125" s="264"/>
      <c r="C125" s="2"/>
      <c r="D125" s="2"/>
      <c r="E125" s="2"/>
      <c r="F125" s="2"/>
      <c r="G125" s="2"/>
      <c r="H125" s="2"/>
      <c r="I125" s="2"/>
      <c r="J125" s="2"/>
      <c r="K125" s="2"/>
      <c r="L125" s="2"/>
      <c r="M125" s="2"/>
      <c r="N125" s="2"/>
      <c r="O125" s="2"/>
      <c r="P125" s="2"/>
      <c r="Q125" s="2"/>
      <c r="R125" s="2"/>
      <c r="S125" s="2"/>
      <c r="T125" s="2"/>
      <c r="U125" s="2"/>
      <c r="V125" s="259"/>
      <c r="W125" s="259"/>
      <c r="X125" s="116"/>
      <c r="Y125" s="116"/>
    </row>
    <row r="126" spans="1:25" x14ac:dyDescent="0.2">
      <c r="A126" s="264"/>
      <c r="B126" s="264"/>
      <c r="C126" s="2"/>
      <c r="D126" s="2"/>
      <c r="E126" s="2"/>
      <c r="F126" s="2"/>
      <c r="G126" s="2"/>
      <c r="H126" s="2"/>
      <c r="I126" s="2"/>
      <c r="J126" s="2"/>
      <c r="K126" s="2"/>
      <c r="L126" s="2"/>
      <c r="M126" s="2"/>
      <c r="N126" s="2"/>
      <c r="O126" s="2"/>
      <c r="P126" s="2"/>
      <c r="Q126" s="2"/>
      <c r="R126" s="2"/>
      <c r="S126" s="2"/>
      <c r="T126" s="2"/>
      <c r="U126" s="2"/>
      <c r="V126" s="259"/>
      <c r="W126" s="259"/>
      <c r="X126" s="116"/>
      <c r="Y126" s="116"/>
    </row>
    <row r="127" spans="1:25" x14ac:dyDescent="0.2">
      <c r="A127" s="264"/>
      <c r="B127" s="264"/>
      <c r="C127" s="2"/>
      <c r="D127" s="2"/>
      <c r="E127" s="2"/>
      <c r="F127" s="2"/>
      <c r="G127" s="2"/>
      <c r="H127" s="2"/>
      <c r="I127" s="2"/>
      <c r="J127" s="2"/>
      <c r="K127" s="2"/>
      <c r="L127" s="2"/>
      <c r="M127" s="2"/>
      <c r="N127" s="2"/>
      <c r="O127" s="2"/>
      <c r="P127" s="2"/>
      <c r="Q127" s="2"/>
      <c r="R127" s="2"/>
      <c r="S127" s="2"/>
      <c r="T127" s="2"/>
      <c r="U127" s="2"/>
      <c r="V127" s="259"/>
      <c r="W127" s="259"/>
      <c r="X127" s="116"/>
      <c r="Y127" s="116"/>
    </row>
    <row r="128" spans="1:25" x14ac:dyDescent="0.2">
      <c r="A128" s="264"/>
      <c r="B128" s="264"/>
      <c r="C128" s="2"/>
      <c r="D128" s="2"/>
      <c r="E128" s="2"/>
      <c r="F128" s="2"/>
      <c r="G128" s="2"/>
      <c r="H128" s="2"/>
      <c r="I128" s="2"/>
      <c r="J128" s="2"/>
      <c r="K128" s="2"/>
      <c r="L128" s="2"/>
      <c r="M128" s="2"/>
      <c r="N128" s="2"/>
      <c r="O128" s="2"/>
      <c r="P128" s="2"/>
      <c r="Q128" s="2"/>
      <c r="R128" s="2"/>
      <c r="S128" s="2"/>
      <c r="T128" s="2"/>
      <c r="U128" s="2"/>
      <c r="V128" s="259"/>
      <c r="W128" s="259"/>
      <c r="X128" s="116"/>
      <c r="Y128" s="116"/>
    </row>
    <row r="129" spans="1:25" x14ac:dyDescent="0.2">
      <c r="A129" s="264"/>
      <c r="B129" s="264"/>
      <c r="C129" s="2"/>
      <c r="D129" s="2"/>
      <c r="E129" s="2"/>
      <c r="F129" s="2"/>
      <c r="G129" s="2"/>
      <c r="H129" s="2"/>
      <c r="I129" s="2"/>
      <c r="J129" s="2"/>
      <c r="K129" s="2"/>
      <c r="L129" s="2"/>
      <c r="M129" s="2"/>
      <c r="N129" s="2"/>
      <c r="O129" s="2"/>
      <c r="P129" s="2"/>
      <c r="Q129" s="2"/>
      <c r="R129" s="2"/>
      <c r="S129" s="2"/>
      <c r="T129" s="2"/>
      <c r="U129" s="2"/>
      <c r="V129" s="259"/>
      <c r="W129" s="259"/>
      <c r="X129" s="116"/>
      <c r="Y129" s="116"/>
    </row>
    <row r="130" spans="1:25" x14ac:dyDescent="0.2">
      <c r="A130" s="264"/>
      <c r="B130" s="264"/>
      <c r="C130" s="2"/>
      <c r="D130" s="2"/>
      <c r="E130" s="2"/>
      <c r="F130" s="2"/>
      <c r="G130" s="2"/>
      <c r="H130" s="2"/>
      <c r="I130" s="2"/>
      <c r="J130" s="2"/>
      <c r="K130" s="2"/>
      <c r="L130" s="2"/>
      <c r="M130" s="2"/>
      <c r="N130" s="2"/>
      <c r="O130" s="2"/>
      <c r="P130" s="2"/>
      <c r="Q130" s="2"/>
      <c r="R130" s="2"/>
      <c r="S130" s="2"/>
      <c r="T130" s="2"/>
      <c r="U130" s="2"/>
      <c r="V130" s="259"/>
      <c r="W130" s="259"/>
      <c r="X130" s="116"/>
      <c r="Y130" s="116"/>
    </row>
    <row r="131" spans="1:25" x14ac:dyDescent="0.2">
      <c r="A131" s="264"/>
      <c r="B131" s="264"/>
      <c r="C131" s="2"/>
      <c r="D131" s="2"/>
      <c r="E131" s="2"/>
      <c r="F131" s="2"/>
      <c r="G131" s="2"/>
      <c r="H131" s="2"/>
      <c r="I131" s="2"/>
      <c r="J131" s="2"/>
      <c r="K131" s="2"/>
      <c r="L131" s="2"/>
      <c r="M131" s="2"/>
      <c r="N131" s="2"/>
      <c r="O131" s="2"/>
      <c r="P131" s="2"/>
      <c r="Q131" s="2"/>
      <c r="R131" s="2"/>
      <c r="S131" s="2"/>
      <c r="T131" s="2"/>
      <c r="U131" s="2"/>
      <c r="V131" s="259"/>
      <c r="W131" s="259"/>
      <c r="X131" s="116"/>
      <c r="Y131" s="116"/>
    </row>
    <row r="132" spans="1:25" x14ac:dyDescent="0.2">
      <c r="A132" s="264"/>
      <c r="B132" s="264"/>
      <c r="C132" s="2"/>
      <c r="D132" s="2"/>
      <c r="E132" s="2"/>
      <c r="F132" s="2"/>
      <c r="G132" s="2"/>
      <c r="H132" s="2"/>
      <c r="I132" s="2"/>
      <c r="J132" s="2"/>
      <c r="K132" s="2"/>
      <c r="L132" s="2"/>
      <c r="M132" s="2"/>
      <c r="N132" s="2"/>
      <c r="O132" s="2"/>
      <c r="P132" s="2"/>
      <c r="Q132" s="2"/>
      <c r="R132" s="2"/>
      <c r="S132" s="2"/>
      <c r="T132" s="2"/>
      <c r="U132" s="2"/>
      <c r="V132" s="259"/>
      <c r="W132" s="259"/>
      <c r="X132" s="116"/>
      <c r="Y132" s="116"/>
    </row>
    <row r="133" spans="1:25" x14ac:dyDescent="0.2">
      <c r="A133" s="264"/>
      <c r="B133" s="264"/>
      <c r="C133" s="2"/>
      <c r="D133" s="2"/>
      <c r="E133" s="2"/>
      <c r="F133" s="2"/>
      <c r="G133" s="2"/>
      <c r="H133" s="2"/>
      <c r="I133" s="2"/>
      <c r="J133" s="2"/>
      <c r="K133" s="2"/>
      <c r="L133" s="2"/>
      <c r="M133" s="2"/>
      <c r="N133" s="2"/>
      <c r="O133" s="2"/>
      <c r="P133" s="2"/>
      <c r="Q133" s="2"/>
      <c r="R133" s="2"/>
      <c r="S133" s="2"/>
      <c r="T133" s="2"/>
      <c r="U133" s="2"/>
      <c r="V133" s="259"/>
      <c r="W133" s="259"/>
      <c r="X133" s="116"/>
      <c r="Y133" s="116"/>
    </row>
    <row r="134" spans="1:25" x14ac:dyDescent="0.2">
      <c r="A134" s="264"/>
      <c r="B134" s="264"/>
      <c r="C134" s="2"/>
      <c r="D134" s="2"/>
      <c r="E134" s="2"/>
      <c r="F134" s="2"/>
      <c r="G134" s="2"/>
      <c r="H134" s="2"/>
      <c r="I134" s="2"/>
      <c r="J134" s="2"/>
      <c r="K134" s="2"/>
      <c r="L134" s="2"/>
      <c r="M134" s="2"/>
      <c r="N134" s="2"/>
      <c r="O134" s="2"/>
      <c r="P134" s="2"/>
      <c r="Q134" s="2"/>
      <c r="R134" s="2"/>
      <c r="S134" s="2"/>
      <c r="T134" s="2"/>
      <c r="U134" s="2"/>
      <c r="V134" s="259"/>
      <c r="W134" s="259"/>
      <c r="X134" s="116"/>
      <c r="Y134" s="116"/>
    </row>
    <row r="135" spans="1:25" x14ac:dyDescent="0.2">
      <c r="A135" s="264"/>
      <c r="B135" s="264"/>
      <c r="C135" s="2"/>
      <c r="D135" s="2"/>
      <c r="E135" s="2"/>
      <c r="F135" s="2"/>
      <c r="G135" s="2"/>
      <c r="H135" s="2"/>
      <c r="I135" s="2"/>
      <c r="J135" s="2"/>
      <c r="K135" s="2"/>
      <c r="L135" s="2"/>
      <c r="M135" s="2"/>
      <c r="N135" s="2"/>
      <c r="O135" s="2"/>
      <c r="P135" s="2"/>
      <c r="Q135" s="2"/>
      <c r="R135" s="2"/>
      <c r="S135" s="2"/>
      <c r="T135" s="2"/>
      <c r="U135" s="2"/>
      <c r="V135" s="259"/>
      <c r="W135" s="259"/>
      <c r="X135" s="116"/>
      <c r="Y135" s="116"/>
    </row>
    <row r="136" spans="1:25" x14ac:dyDescent="0.2">
      <c r="A136" s="264"/>
      <c r="B136" s="264"/>
      <c r="C136" s="2"/>
      <c r="D136" s="2"/>
      <c r="E136" s="2"/>
      <c r="F136" s="2"/>
      <c r="G136" s="2"/>
      <c r="H136" s="2"/>
      <c r="I136" s="2"/>
      <c r="J136" s="2"/>
      <c r="K136" s="2"/>
      <c r="L136" s="2"/>
      <c r="M136" s="2"/>
      <c r="N136" s="2"/>
      <c r="O136" s="2"/>
      <c r="P136" s="2"/>
      <c r="Q136" s="2"/>
      <c r="R136" s="2"/>
      <c r="S136" s="2"/>
      <c r="T136" s="2"/>
      <c r="U136" s="2"/>
      <c r="V136" s="259"/>
      <c r="W136" s="259"/>
      <c r="X136" s="116"/>
      <c r="Y136" s="116"/>
    </row>
    <row r="137" spans="1:25" x14ac:dyDescent="0.2">
      <c r="A137" s="264"/>
      <c r="B137" s="264"/>
      <c r="C137" s="2"/>
      <c r="D137" s="2"/>
      <c r="E137" s="2"/>
      <c r="F137" s="2"/>
      <c r="G137" s="2"/>
      <c r="H137" s="2"/>
      <c r="I137" s="2"/>
      <c r="J137" s="2"/>
      <c r="K137" s="2"/>
      <c r="L137" s="2"/>
      <c r="M137" s="2"/>
      <c r="N137" s="2"/>
      <c r="O137" s="2"/>
      <c r="P137" s="2"/>
      <c r="Q137" s="2"/>
      <c r="R137" s="2"/>
      <c r="S137" s="2"/>
      <c r="T137" s="2"/>
      <c r="U137" s="2"/>
      <c r="V137" s="259"/>
      <c r="W137" s="259"/>
      <c r="X137" s="116"/>
      <c r="Y137" s="116"/>
    </row>
    <row r="138" spans="1:25" x14ac:dyDescent="0.2">
      <c r="A138" s="264"/>
      <c r="B138" s="264"/>
      <c r="C138" s="2"/>
      <c r="D138" s="2"/>
      <c r="E138" s="2"/>
      <c r="F138" s="2"/>
      <c r="G138" s="2"/>
      <c r="H138" s="2"/>
      <c r="I138" s="2"/>
      <c r="J138" s="2"/>
      <c r="K138" s="2"/>
      <c r="L138" s="2"/>
      <c r="M138" s="2"/>
      <c r="N138" s="2"/>
      <c r="O138" s="2"/>
      <c r="P138" s="2"/>
      <c r="Q138" s="2"/>
      <c r="R138" s="2"/>
      <c r="S138" s="2"/>
      <c r="T138" s="2"/>
      <c r="U138" s="2"/>
      <c r="V138" s="259"/>
      <c r="W138" s="259"/>
      <c r="X138" s="116"/>
      <c r="Y138" s="116"/>
    </row>
    <row r="139" spans="1:25" x14ac:dyDescent="0.2">
      <c r="A139" s="264"/>
      <c r="B139" s="264"/>
      <c r="C139" s="2"/>
      <c r="D139" s="2"/>
      <c r="E139" s="2"/>
      <c r="F139" s="2"/>
      <c r="G139" s="2"/>
      <c r="H139" s="2"/>
      <c r="I139" s="2"/>
      <c r="J139" s="2"/>
      <c r="K139" s="2"/>
      <c r="L139" s="2"/>
      <c r="M139" s="2"/>
      <c r="N139" s="2"/>
      <c r="O139" s="2"/>
      <c r="P139" s="2"/>
      <c r="Q139" s="2"/>
      <c r="R139" s="2"/>
      <c r="S139" s="2"/>
      <c r="T139" s="2"/>
      <c r="U139" s="2"/>
      <c r="V139" s="259"/>
      <c r="W139" s="259"/>
      <c r="X139" s="116"/>
      <c r="Y139" s="116"/>
    </row>
    <row r="140" spans="1:25" x14ac:dyDescent="0.2">
      <c r="A140" s="264"/>
      <c r="B140" s="264"/>
      <c r="C140" s="2"/>
      <c r="D140" s="2"/>
      <c r="E140" s="2"/>
      <c r="F140" s="2"/>
      <c r="G140" s="2"/>
      <c r="H140" s="2"/>
      <c r="I140" s="2"/>
      <c r="J140" s="2"/>
      <c r="K140" s="2"/>
      <c r="L140" s="2"/>
      <c r="M140" s="2"/>
      <c r="N140" s="2"/>
      <c r="O140" s="2"/>
      <c r="P140" s="2"/>
      <c r="Q140" s="2"/>
      <c r="R140" s="2"/>
      <c r="S140" s="2"/>
      <c r="T140" s="2"/>
      <c r="U140" s="2"/>
      <c r="V140" s="259"/>
      <c r="W140" s="259"/>
      <c r="X140" s="116"/>
      <c r="Y140" s="116"/>
    </row>
    <row r="141" spans="1:25" x14ac:dyDescent="0.2">
      <c r="A141" s="264"/>
      <c r="B141" s="264"/>
      <c r="C141" s="2"/>
      <c r="D141" s="2"/>
      <c r="E141" s="2"/>
      <c r="F141" s="2"/>
      <c r="G141" s="2"/>
      <c r="H141" s="2"/>
      <c r="I141" s="2"/>
      <c r="J141" s="2"/>
      <c r="K141" s="2"/>
      <c r="L141" s="2"/>
      <c r="M141" s="2"/>
      <c r="N141" s="2"/>
      <c r="O141" s="2"/>
      <c r="P141" s="2"/>
      <c r="Q141" s="2"/>
      <c r="R141" s="2"/>
      <c r="S141" s="2"/>
      <c r="T141" s="2"/>
      <c r="U141" s="2"/>
      <c r="V141" s="259"/>
      <c r="W141" s="259"/>
      <c r="X141" s="116"/>
      <c r="Y141" s="116"/>
    </row>
    <row r="142" spans="1:25" x14ac:dyDescent="0.2">
      <c r="A142" s="264"/>
      <c r="B142" s="264"/>
      <c r="C142" s="2"/>
      <c r="D142" s="2"/>
      <c r="E142" s="2"/>
      <c r="F142" s="2"/>
      <c r="G142" s="2"/>
      <c r="H142" s="2"/>
      <c r="I142" s="2"/>
      <c r="J142" s="2"/>
      <c r="K142" s="2"/>
      <c r="L142" s="2"/>
      <c r="M142" s="2"/>
      <c r="N142" s="2"/>
      <c r="O142" s="2"/>
      <c r="P142" s="2"/>
      <c r="Q142" s="2"/>
      <c r="R142" s="2"/>
      <c r="S142" s="2"/>
      <c r="T142" s="2"/>
      <c r="U142" s="2"/>
      <c r="V142" s="259"/>
      <c r="W142" s="259"/>
      <c r="X142" s="116"/>
      <c r="Y142" s="116"/>
    </row>
    <row r="143" spans="1:25" x14ac:dyDescent="0.2">
      <c r="A143" s="264"/>
      <c r="B143" s="264"/>
      <c r="C143" s="2"/>
      <c r="D143" s="2"/>
      <c r="E143" s="2"/>
      <c r="F143" s="2"/>
      <c r="G143" s="2"/>
      <c r="H143" s="2"/>
      <c r="I143" s="2"/>
      <c r="J143" s="2"/>
      <c r="K143" s="2"/>
      <c r="L143" s="2"/>
      <c r="M143" s="2"/>
      <c r="N143" s="2"/>
      <c r="O143" s="2"/>
      <c r="P143" s="2"/>
      <c r="Q143" s="2"/>
      <c r="R143" s="2"/>
      <c r="S143" s="2"/>
      <c r="T143" s="2"/>
      <c r="U143" s="2"/>
      <c r="V143" s="259"/>
      <c r="W143" s="259"/>
      <c r="X143" s="116"/>
      <c r="Y143" s="116"/>
    </row>
    <row r="144" spans="1:25" x14ac:dyDescent="0.2">
      <c r="A144" s="264"/>
      <c r="B144" s="264"/>
      <c r="C144" s="2"/>
      <c r="D144" s="2"/>
      <c r="E144" s="2"/>
      <c r="F144" s="2"/>
      <c r="G144" s="2"/>
      <c r="H144" s="2"/>
      <c r="I144" s="2"/>
      <c r="J144" s="2"/>
      <c r="K144" s="2"/>
      <c r="L144" s="2"/>
      <c r="M144" s="2"/>
      <c r="N144" s="2"/>
      <c r="O144" s="2"/>
      <c r="P144" s="2"/>
      <c r="Q144" s="2"/>
      <c r="R144" s="2"/>
      <c r="S144" s="2"/>
      <c r="T144" s="2"/>
      <c r="U144" s="2"/>
      <c r="V144" s="259"/>
      <c r="W144" s="259"/>
      <c r="X144" s="116"/>
      <c r="Y144" s="116"/>
    </row>
    <row r="145" spans="1:25" x14ac:dyDescent="0.2">
      <c r="A145" s="264"/>
      <c r="B145" s="264"/>
      <c r="C145" s="2"/>
      <c r="D145" s="2"/>
      <c r="E145" s="2"/>
      <c r="F145" s="2"/>
      <c r="G145" s="2"/>
      <c r="H145" s="2"/>
      <c r="I145" s="2"/>
      <c r="J145" s="2"/>
      <c r="K145" s="2"/>
      <c r="L145" s="2"/>
      <c r="M145" s="2"/>
      <c r="N145" s="2"/>
      <c r="O145" s="2"/>
      <c r="P145" s="2"/>
      <c r="Q145" s="2"/>
      <c r="R145" s="2"/>
      <c r="S145" s="2"/>
      <c r="T145" s="2"/>
      <c r="U145" s="2"/>
      <c r="V145" s="259"/>
      <c r="W145" s="259"/>
      <c r="X145" s="116"/>
      <c r="Y145" s="116"/>
    </row>
    <row r="146" spans="1:25" x14ac:dyDescent="0.2">
      <c r="A146" s="264"/>
      <c r="B146" s="264"/>
      <c r="C146" s="2"/>
      <c r="D146" s="2"/>
      <c r="E146" s="2"/>
      <c r="F146" s="2"/>
      <c r="G146" s="2"/>
      <c r="H146" s="2"/>
      <c r="I146" s="2"/>
      <c r="J146" s="2"/>
      <c r="K146" s="2"/>
      <c r="L146" s="2"/>
      <c r="M146" s="2"/>
      <c r="N146" s="2"/>
      <c r="O146" s="2"/>
      <c r="P146" s="2"/>
      <c r="Q146" s="2"/>
      <c r="R146" s="2"/>
      <c r="S146" s="2"/>
      <c r="T146" s="2"/>
      <c r="U146" s="2"/>
      <c r="V146" s="259"/>
      <c r="W146" s="259"/>
      <c r="X146" s="116"/>
      <c r="Y146" s="116"/>
    </row>
    <row r="147" spans="1:25" x14ac:dyDescent="0.2">
      <c r="A147" s="264"/>
      <c r="B147" s="264"/>
      <c r="C147" s="2"/>
      <c r="D147" s="2"/>
      <c r="E147" s="2"/>
      <c r="F147" s="2"/>
      <c r="G147" s="2"/>
      <c r="H147" s="2"/>
      <c r="I147" s="2"/>
      <c r="J147" s="2"/>
      <c r="K147" s="2"/>
      <c r="L147" s="2"/>
      <c r="M147" s="2"/>
      <c r="N147" s="2"/>
      <c r="O147" s="2"/>
      <c r="P147" s="2"/>
      <c r="Q147" s="2"/>
      <c r="R147" s="2"/>
      <c r="S147" s="2"/>
      <c r="T147" s="2"/>
      <c r="U147" s="2"/>
      <c r="V147" s="259"/>
      <c r="W147" s="259"/>
      <c r="X147" s="116"/>
      <c r="Y147" s="116"/>
    </row>
    <row r="148" spans="1:25" x14ac:dyDescent="0.2">
      <c r="A148" s="264"/>
      <c r="B148" s="264"/>
      <c r="C148" s="2"/>
      <c r="D148" s="2"/>
      <c r="E148" s="2"/>
      <c r="F148" s="2"/>
      <c r="G148" s="2"/>
      <c r="H148" s="2"/>
      <c r="I148" s="2"/>
      <c r="J148" s="2"/>
      <c r="K148" s="2"/>
      <c r="L148" s="2"/>
      <c r="M148" s="2"/>
      <c r="N148" s="2"/>
      <c r="O148" s="2"/>
      <c r="P148" s="2"/>
      <c r="Q148" s="2"/>
      <c r="R148" s="2"/>
      <c r="S148" s="2"/>
      <c r="T148" s="2"/>
      <c r="U148" s="2"/>
      <c r="V148" s="259"/>
      <c r="W148" s="259"/>
      <c r="X148" s="116"/>
      <c r="Y148" s="116"/>
    </row>
    <row r="149" spans="1:25" x14ac:dyDescent="0.2">
      <c r="A149" s="264"/>
      <c r="B149" s="264"/>
      <c r="C149" s="2"/>
      <c r="D149" s="2"/>
      <c r="E149" s="2"/>
      <c r="F149" s="2"/>
      <c r="G149" s="2"/>
      <c r="H149" s="2"/>
      <c r="I149" s="2"/>
      <c r="J149" s="2"/>
      <c r="K149" s="2"/>
      <c r="L149" s="2"/>
      <c r="M149" s="2"/>
      <c r="N149" s="2"/>
      <c r="O149" s="2"/>
      <c r="P149" s="2"/>
      <c r="Q149" s="2"/>
      <c r="R149" s="2"/>
      <c r="S149" s="2"/>
      <c r="T149" s="2"/>
      <c r="U149" s="2"/>
      <c r="V149" s="259"/>
      <c r="W149" s="259"/>
      <c r="X149" s="116"/>
      <c r="Y149" s="116"/>
    </row>
    <row r="150" spans="1:25" x14ac:dyDescent="0.2">
      <c r="A150" s="264"/>
      <c r="B150" s="264"/>
      <c r="C150" s="2"/>
      <c r="D150" s="2"/>
      <c r="E150" s="2"/>
      <c r="F150" s="2"/>
      <c r="G150" s="2"/>
      <c r="H150" s="2"/>
      <c r="I150" s="2"/>
      <c r="J150" s="2"/>
      <c r="K150" s="2"/>
      <c r="L150" s="2"/>
      <c r="M150" s="2"/>
      <c r="N150" s="2"/>
      <c r="O150" s="2"/>
      <c r="P150" s="2"/>
      <c r="Q150" s="2"/>
      <c r="R150" s="2"/>
      <c r="S150" s="2"/>
      <c r="T150" s="2"/>
      <c r="U150" s="2"/>
      <c r="V150" s="259"/>
      <c r="W150" s="259"/>
      <c r="X150" s="116"/>
      <c r="Y150" s="116"/>
    </row>
    <row r="151" spans="1:25" x14ac:dyDescent="0.2">
      <c r="A151" s="264"/>
      <c r="B151" s="264"/>
      <c r="C151" s="2"/>
      <c r="D151" s="2"/>
      <c r="E151" s="2"/>
      <c r="F151" s="2"/>
      <c r="G151" s="2"/>
      <c r="H151" s="2"/>
      <c r="I151" s="2"/>
      <c r="J151" s="2"/>
      <c r="K151" s="2"/>
      <c r="L151" s="2"/>
      <c r="M151" s="2"/>
      <c r="N151" s="2"/>
      <c r="O151" s="2"/>
      <c r="P151" s="2"/>
      <c r="Q151" s="2"/>
      <c r="R151" s="2"/>
      <c r="S151" s="2"/>
      <c r="T151" s="2"/>
      <c r="U151" s="2"/>
      <c r="V151" s="259"/>
      <c r="W151" s="259"/>
      <c r="X151" s="116"/>
      <c r="Y151" s="116"/>
    </row>
    <row r="152" spans="1:25" x14ac:dyDescent="0.2">
      <c r="A152" s="264"/>
      <c r="B152" s="264"/>
      <c r="C152" s="2"/>
      <c r="D152" s="2"/>
      <c r="E152" s="2"/>
      <c r="F152" s="2"/>
      <c r="G152" s="2"/>
      <c r="H152" s="2"/>
      <c r="I152" s="2"/>
      <c r="J152" s="2"/>
      <c r="K152" s="2"/>
      <c r="L152" s="2"/>
      <c r="M152" s="2"/>
      <c r="N152" s="2"/>
      <c r="O152" s="2"/>
      <c r="P152" s="2"/>
      <c r="Q152" s="2"/>
      <c r="R152" s="2"/>
      <c r="S152" s="2"/>
      <c r="T152" s="2"/>
      <c r="U152" s="2"/>
      <c r="V152" s="259"/>
      <c r="W152" s="259"/>
      <c r="X152" s="116"/>
      <c r="Y152" s="116"/>
    </row>
    <row r="153" spans="1:25" x14ac:dyDescent="0.2">
      <c r="A153" s="264"/>
      <c r="B153" s="264"/>
      <c r="C153" s="2"/>
      <c r="D153" s="2"/>
      <c r="E153" s="2"/>
      <c r="F153" s="2"/>
      <c r="G153" s="2"/>
      <c r="H153" s="2"/>
      <c r="I153" s="2"/>
      <c r="J153" s="2"/>
      <c r="K153" s="2"/>
      <c r="L153" s="2"/>
      <c r="M153" s="2"/>
      <c r="N153" s="2"/>
      <c r="O153" s="2"/>
      <c r="P153" s="2"/>
      <c r="Q153" s="2"/>
      <c r="R153" s="2"/>
      <c r="S153" s="2"/>
      <c r="T153" s="2"/>
      <c r="U153" s="2"/>
      <c r="V153" s="259"/>
      <c r="W153" s="259"/>
      <c r="X153" s="116"/>
      <c r="Y153" s="116"/>
    </row>
    <row r="154" spans="1:25" x14ac:dyDescent="0.2">
      <c r="A154" s="264"/>
      <c r="B154" s="264"/>
      <c r="C154" s="2"/>
      <c r="D154" s="2"/>
      <c r="E154" s="2"/>
      <c r="F154" s="2"/>
      <c r="G154" s="2"/>
      <c r="H154" s="2"/>
      <c r="I154" s="2"/>
      <c r="J154" s="2"/>
      <c r="K154" s="2"/>
      <c r="L154" s="2"/>
      <c r="M154" s="2"/>
      <c r="N154" s="2"/>
      <c r="O154" s="2"/>
      <c r="P154" s="2"/>
      <c r="Q154" s="2"/>
      <c r="R154" s="2"/>
      <c r="S154" s="2"/>
      <c r="T154" s="2"/>
      <c r="U154" s="2"/>
      <c r="V154" s="259"/>
      <c r="W154" s="259"/>
      <c r="X154" s="116"/>
      <c r="Y154" s="116"/>
    </row>
    <row r="155" spans="1:25" x14ac:dyDescent="0.2">
      <c r="A155" s="264"/>
      <c r="B155" s="264"/>
      <c r="C155" s="2"/>
      <c r="D155" s="2"/>
      <c r="E155" s="2"/>
      <c r="F155" s="2"/>
      <c r="G155" s="2"/>
      <c r="H155" s="2"/>
      <c r="I155" s="2"/>
      <c r="J155" s="2"/>
      <c r="K155" s="2"/>
      <c r="L155" s="2"/>
      <c r="M155" s="2"/>
      <c r="N155" s="2"/>
      <c r="O155" s="2"/>
      <c r="P155" s="2"/>
      <c r="Q155" s="2"/>
      <c r="R155" s="2"/>
      <c r="S155" s="2"/>
      <c r="T155" s="2"/>
      <c r="U155" s="2"/>
      <c r="V155" s="259"/>
      <c r="W155" s="259"/>
      <c r="X155" s="116"/>
      <c r="Y155" s="116"/>
    </row>
    <row r="156" spans="1:25" x14ac:dyDescent="0.2">
      <c r="A156" s="264"/>
      <c r="B156" s="264"/>
      <c r="C156" s="2"/>
      <c r="D156" s="2"/>
      <c r="E156" s="2"/>
      <c r="F156" s="2"/>
      <c r="G156" s="2"/>
      <c r="H156" s="2"/>
      <c r="I156" s="2"/>
      <c r="J156" s="2"/>
      <c r="K156" s="2"/>
      <c r="L156" s="2"/>
      <c r="M156" s="2"/>
      <c r="N156" s="2"/>
      <c r="O156" s="2"/>
      <c r="P156" s="2"/>
      <c r="Q156" s="2"/>
      <c r="R156" s="2"/>
      <c r="S156" s="2"/>
      <c r="T156" s="2"/>
      <c r="U156" s="2"/>
      <c r="V156" s="259"/>
      <c r="W156" s="259"/>
      <c r="X156" s="116"/>
      <c r="Y156" s="116"/>
    </row>
    <row r="157" spans="1:25" x14ac:dyDescent="0.2">
      <c r="A157" s="264"/>
      <c r="B157" s="264"/>
      <c r="C157" s="2"/>
      <c r="D157" s="2"/>
      <c r="E157" s="2"/>
      <c r="F157" s="2"/>
      <c r="G157" s="2"/>
      <c r="H157" s="2"/>
      <c r="I157" s="2"/>
      <c r="J157" s="2"/>
      <c r="K157" s="2"/>
      <c r="L157" s="2"/>
      <c r="M157" s="2"/>
      <c r="N157" s="2"/>
      <c r="O157" s="2"/>
      <c r="P157" s="2"/>
      <c r="Q157" s="2"/>
      <c r="R157" s="2"/>
      <c r="S157" s="2"/>
      <c r="T157" s="2"/>
      <c r="U157" s="2"/>
      <c r="V157" s="259"/>
      <c r="W157" s="259"/>
      <c r="X157" s="116"/>
      <c r="Y157" s="116"/>
    </row>
    <row r="158" spans="1:25" x14ac:dyDescent="0.2">
      <c r="A158" s="264"/>
      <c r="B158" s="264"/>
      <c r="C158" s="2"/>
      <c r="D158" s="2"/>
      <c r="E158" s="2"/>
      <c r="F158" s="2"/>
      <c r="G158" s="2"/>
      <c r="H158" s="2"/>
      <c r="I158" s="2"/>
      <c r="J158" s="2"/>
      <c r="K158" s="2"/>
      <c r="L158" s="2"/>
      <c r="M158" s="2"/>
      <c r="N158" s="2"/>
      <c r="O158" s="2"/>
      <c r="P158" s="2"/>
      <c r="Q158" s="2"/>
      <c r="R158" s="2"/>
      <c r="S158" s="2"/>
      <c r="T158" s="2"/>
      <c r="U158" s="2"/>
      <c r="V158" s="259"/>
      <c r="W158" s="259"/>
      <c r="X158" s="116"/>
      <c r="Y158" s="116"/>
    </row>
    <row r="159" spans="1:25" x14ac:dyDescent="0.2">
      <c r="A159" s="264"/>
      <c r="B159" s="264"/>
      <c r="C159" s="2"/>
      <c r="D159" s="2"/>
      <c r="E159" s="2"/>
      <c r="F159" s="2"/>
      <c r="G159" s="2"/>
      <c r="H159" s="2"/>
      <c r="I159" s="2"/>
      <c r="J159" s="2"/>
      <c r="K159" s="2"/>
      <c r="L159" s="2"/>
      <c r="M159" s="2"/>
      <c r="N159" s="2"/>
      <c r="O159" s="2"/>
      <c r="P159" s="2"/>
      <c r="Q159" s="2"/>
      <c r="R159" s="2"/>
      <c r="S159" s="2"/>
      <c r="T159" s="2"/>
      <c r="U159" s="2"/>
      <c r="V159" s="259"/>
      <c r="W159" s="259"/>
      <c r="X159" s="116"/>
      <c r="Y159" s="116"/>
    </row>
    <row r="160" spans="1:25" x14ac:dyDescent="0.2">
      <c r="A160" s="264"/>
      <c r="B160" s="264"/>
      <c r="C160" s="2"/>
      <c r="D160" s="2"/>
      <c r="E160" s="2"/>
      <c r="F160" s="2"/>
      <c r="G160" s="2"/>
      <c r="H160" s="2"/>
      <c r="I160" s="2"/>
      <c r="J160" s="2"/>
      <c r="K160" s="2"/>
      <c r="L160" s="2"/>
      <c r="M160" s="2"/>
      <c r="N160" s="2"/>
      <c r="O160" s="2"/>
      <c r="P160" s="2"/>
      <c r="Q160" s="2"/>
      <c r="R160" s="2"/>
      <c r="S160" s="2"/>
      <c r="T160" s="2"/>
      <c r="U160" s="2"/>
      <c r="V160" s="259"/>
      <c r="W160" s="259"/>
      <c r="X160" s="116"/>
      <c r="Y160" s="116"/>
    </row>
    <row r="161" spans="1:25" x14ac:dyDescent="0.2">
      <c r="A161" s="264"/>
      <c r="B161" s="264"/>
      <c r="C161" s="2"/>
      <c r="D161" s="2"/>
      <c r="E161" s="2"/>
      <c r="F161" s="2"/>
      <c r="G161" s="2"/>
      <c r="H161" s="2"/>
      <c r="I161" s="2"/>
      <c r="J161" s="2"/>
      <c r="K161" s="2"/>
      <c r="L161" s="2"/>
      <c r="M161" s="2"/>
      <c r="N161" s="2"/>
      <c r="O161" s="2"/>
      <c r="P161" s="2"/>
      <c r="Q161" s="2"/>
      <c r="R161" s="2"/>
      <c r="S161" s="2"/>
      <c r="T161" s="2"/>
      <c r="U161" s="2"/>
      <c r="V161" s="259"/>
      <c r="W161" s="259"/>
      <c r="X161" s="116"/>
      <c r="Y161" s="116"/>
    </row>
    <row r="162" spans="1:25" x14ac:dyDescent="0.2">
      <c r="A162" s="264"/>
      <c r="B162" s="264"/>
      <c r="C162" s="2"/>
      <c r="D162" s="2"/>
      <c r="E162" s="2"/>
      <c r="F162" s="2"/>
      <c r="G162" s="2"/>
      <c r="H162" s="2"/>
      <c r="I162" s="2"/>
      <c r="J162" s="2"/>
      <c r="K162" s="2"/>
      <c r="L162" s="2"/>
      <c r="M162" s="2"/>
      <c r="N162" s="2"/>
      <c r="O162" s="2"/>
      <c r="P162" s="2"/>
      <c r="Q162" s="2"/>
      <c r="R162" s="2"/>
      <c r="S162" s="2"/>
      <c r="T162" s="2"/>
      <c r="U162" s="2"/>
      <c r="V162" s="259"/>
      <c r="W162" s="259"/>
      <c r="X162" s="116"/>
      <c r="Y162" s="116"/>
    </row>
    <row r="163" spans="1:25" x14ac:dyDescent="0.2">
      <c r="A163" s="264"/>
      <c r="B163" s="264"/>
      <c r="C163" s="2"/>
      <c r="D163" s="2"/>
      <c r="E163" s="2"/>
      <c r="F163" s="2"/>
      <c r="G163" s="2"/>
      <c r="H163" s="2"/>
      <c r="I163" s="2"/>
      <c r="J163" s="2"/>
      <c r="K163" s="2"/>
      <c r="L163" s="2"/>
      <c r="M163" s="2"/>
      <c r="N163" s="2"/>
      <c r="O163" s="2"/>
      <c r="P163" s="2"/>
      <c r="Q163" s="2"/>
      <c r="R163" s="2"/>
      <c r="S163" s="2"/>
      <c r="T163" s="2"/>
      <c r="U163" s="2"/>
      <c r="V163" s="259"/>
      <c r="W163" s="259"/>
      <c r="X163" s="116"/>
      <c r="Y163" s="116"/>
    </row>
    <row r="164" spans="1:25" x14ac:dyDescent="0.2">
      <c r="A164" s="264"/>
      <c r="B164" s="264"/>
      <c r="C164" s="2"/>
      <c r="D164" s="2"/>
      <c r="E164" s="2"/>
      <c r="F164" s="2"/>
      <c r="G164" s="2"/>
      <c r="H164" s="2"/>
      <c r="I164" s="2"/>
      <c r="J164" s="2"/>
      <c r="K164" s="2"/>
      <c r="L164" s="2"/>
      <c r="M164" s="2"/>
      <c r="N164" s="2"/>
      <c r="O164" s="2"/>
      <c r="P164" s="2"/>
      <c r="Q164" s="2"/>
      <c r="R164" s="2"/>
      <c r="S164" s="2"/>
      <c r="T164" s="2"/>
      <c r="U164" s="2"/>
      <c r="V164" s="259"/>
      <c r="W164" s="259"/>
      <c r="X164" s="116"/>
      <c r="Y164" s="116"/>
    </row>
    <row r="165" spans="1:25" x14ac:dyDescent="0.2">
      <c r="A165" s="264"/>
      <c r="B165" s="264"/>
      <c r="C165" s="2"/>
      <c r="D165" s="2"/>
      <c r="E165" s="2"/>
      <c r="F165" s="2"/>
      <c r="G165" s="2"/>
      <c r="H165" s="2"/>
      <c r="I165" s="2"/>
      <c r="J165" s="2"/>
      <c r="K165" s="2"/>
      <c r="L165" s="2"/>
      <c r="M165" s="2"/>
      <c r="N165" s="2"/>
      <c r="O165" s="2"/>
      <c r="P165" s="2"/>
      <c r="Q165" s="2"/>
      <c r="R165" s="2"/>
      <c r="S165" s="2"/>
      <c r="T165" s="2"/>
      <c r="U165" s="2"/>
      <c r="V165" s="259"/>
      <c r="W165" s="259"/>
      <c r="X165" s="116"/>
      <c r="Y165" s="116"/>
    </row>
    <row r="166" spans="1:25" x14ac:dyDescent="0.2">
      <c r="A166" s="264"/>
      <c r="B166" s="264"/>
      <c r="C166" s="2"/>
      <c r="D166" s="2"/>
      <c r="E166" s="2"/>
      <c r="F166" s="2"/>
      <c r="G166" s="2"/>
      <c r="H166" s="2"/>
      <c r="I166" s="2"/>
      <c r="J166" s="2"/>
      <c r="K166" s="2"/>
      <c r="L166" s="2"/>
      <c r="M166" s="2"/>
      <c r="N166" s="2"/>
      <c r="O166" s="2"/>
      <c r="P166" s="2"/>
      <c r="Q166" s="2"/>
      <c r="R166" s="2"/>
      <c r="S166" s="2"/>
      <c r="T166" s="2"/>
      <c r="U166" s="2"/>
      <c r="V166" s="2"/>
      <c r="W166" s="2"/>
    </row>
  </sheetData>
  <sheetProtection algorithmName="SHA-512" hashValue="w2wr4Uq3xVy+S+zPu8PVpvB5gxeCFd03FtMDRxD/M97g+Jbm0WfK7oPc9g6RF0xCPKSLfR2DDgH6gz/lQsnw4g==" saltValue="+9ullQUYbfhlxcGH4/SEdw==" spinCount="100000" sheet="1" objects="1" scenarios="1" selectLockedCells="1"/>
  <mergeCells count="42">
    <mergeCell ref="Z24:AA24"/>
    <mergeCell ref="D25:E25"/>
    <mergeCell ref="I28:J28"/>
    <mergeCell ref="D32:E32"/>
    <mergeCell ref="F32:H32"/>
    <mergeCell ref="R32:T32"/>
    <mergeCell ref="W32:X32"/>
    <mergeCell ref="U32:V32"/>
    <mergeCell ref="R31:X31"/>
    <mergeCell ref="M32:P32"/>
    <mergeCell ref="R25:R26"/>
    <mergeCell ref="I25:M27"/>
    <mergeCell ref="K34:L34"/>
    <mergeCell ref="K35:L35"/>
    <mergeCell ref="C18:F18"/>
    <mergeCell ref="S22:U22"/>
    <mergeCell ref="R19:U20"/>
    <mergeCell ref="O22:Q22"/>
    <mergeCell ref="K33:L33"/>
    <mergeCell ref="I32:L32"/>
    <mergeCell ref="D31:P31"/>
    <mergeCell ref="H5:K5"/>
    <mergeCell ref="N17:Q17"/>
    <mergeCell ref="H16:U16"/>
    <mergeCell ref="D16:F16"/>
    <mergeCell ref="F19:F20"/>
    <mergeCell ref="C2:G2"/>
    <mergeCell ref="D48:E48"/>
    <mergeCell ref="M43:M44"/>
    <mergeCell ref="Q43:R43"/>
    <mergeCell ref="Q44:R45"/>
    <mergeCell ref="J44:J46"/>
    <mergeCell ref="P44:P45"/>
    <mergeCell ref="D42:F42"/>
    <mergeCell ref="K44:K46"/>
    <mergeCell ref="D41:R41"/>
    <mergeCell ref="G42:L42"/>
    <mergeCell ref="M42:R42"/>
    <mergeCell ref="R17:U17"/>
    <mergeCell ref="N19:Q20"/>
    <mergeCell ref="C3:D3"/>
    <mergeCell ref="C5:G5"/>
  </mergeCells>
  <conditionalFormatting sqref="C5">
    <cfRule type="containsText" dxfId="221" priority="283" operator="containsText" text="Bitte Wärmeübertragerkonfiguration eintragen">
      <formula>NOT(ISERROR(SEARCH("Bitte Wärmeübertragerkonfiguration eintragen",C5)))</formula>
    </cfRule>
  </conditionalFormatting>
  <conditionalFormatting sqref="C11">
    <cfRule type="expression" dxfId="219" priority="260">
      <formula>$E$3=TRUE</formula>
    </cfRule>
  </conditionalFormatting>
  <conditionalFormatting sqref="C5:G5">
    <cfRule type="expression" dxfId="218" priority="265">
      <formula>OR($C$5="Bitte Wärmeübertrager auswählen oder eigene Abmaße eintragen | Bitte Temperaturen definieren",$C$5="Bitte Wärmeübertrager auswählen oder eigene Abmaße eintragen")</formula>
    </cfRule>
    <cfRule type="expression" dxfId="217" priority="264">
      <formula>$C$5="Wärmeübertrager definiert"</formula>
    </cfRule>
  </conditionalFormatting>
  <conditionalFormatting sqref="D7:D10">
    <cfRule type="expression" dxfId="216" priority="280">
      <formula>$D$6="Eigene Eingabe"</formula>
    </cfRule>
  </conditionalFormatting>
  <conditionalFormatting sqref="D11">
    <cfRule type="expression" dxfId="215" priority="259">
      <formula>$E$3=TRUE</formula>
    </cfRule>
    <cfRule type="expression" dxfId="214" priority="279">
      <formula>AND($D$6="Eigene Eingabe",$C$11="Plattenanzahl")</formula>
    </cfRule>
  </conditionalFormatting>
  <conditionalFormatting sqref="D23:M23">
    <cfRule type="cellIs" dxfId="213" priority="233" operator="equal">
      <formula>"Wert vorhanden"</formula>
    </cfRule>
    <cfRule type="cellIs" dxfId="212" priority="234" operator="equal">
      <formula>"Wert über 0 eingeben"</formula>
    </cfRule>
    <cfRule type="cellIs" dxfId="211" priority="235" operator="equal">
      <formula>"Wert eingeben"</formula>
    </cfRule>
  </conditionalFormatting>
  <conditionalFormatting sqref="D37:P37">
    <cfRule type="cellIs" dxfId="210" priority="28" operator="equal">
      <formula>"Wert über 0 eingeben"</formula>
    </cfRule>
    <cfRule type="cellIs" dxfId="209" priority="27" operator="equal">
      <formula>"Wert vorhanden"</formula>
    </cfRule>
    <cfRule type="cellIs" dxfId="208" priority="32" operator="equal">
      <formula>"Größe nicht berücksichtigt"</formula>
    </cfRule>
  </conditionalFormatting>
  <conditionalFormatting sqref="E11">
    <cfRule type="expression" dxfId="207" priority="261">
      <formula>$E$3=TRUE</formula>
    </cfRule>
  </conditionalFormatting>
  <conditionalFormatting sqref="E26">
    <cfRule type="expression" dxfId="206" priority="270">
      <formula>AND($A$13=TRUE)</formula>
    </cfRule>
  </conditionalFormatting>
  <conditionalFormatting sqref="E27">
    <cfRule type="expression" dxfId="205" priority="268">
      <formula>AND($A$14=TRUE)</formula>
    </cfRule>
  </conditionalFormatting>
  <conditionalFormatting sqref="E37:P37">
    <cfRule type="cellIs" dxfId="204" priority="29" operator="equal">
      <formula>"Wert eingeben"</formula>
    </cfRule>
  </conditionalFormatting>
  <conditionalFormatting sqref="F48">
    <cfRule type="cellIs" dxfId="203" priority="99" operator="equal">
      <formula>"Wert von mindestens 0 eingeben"</formula>
    </cfRule>
    <cfRule type="cellIs" dxfId="202" priority="100" operator="equal">
      <formula>"Wert eingeben"</formula>
    </cfRule>
    <cfRule type="cellIs" dxfId="201" priority="98" operator="equal">
      <formula>"Wert vorhanden"</formula>
    </cfRule>
  </conditionalFormatting>
  <conditionalFormatting sqref="F49">
    <cfRule type="expression" dxfId="200" priority="107">
      <formula>#REF!="NEIN"</formula>
    </cfRule>
  </conditionalFormatting>
  <conditionalFormatting sqref="H44:H48">
    <cfRule type="expression" dxfId="198" priority="61">
      <formula>$A$13=FALSE</formula>
    </cfRule>
  </conditionalFormatting>
  <conditionalFormatting sqref="H49:I49">
    <cfRule type="expression" dxfId="197" priority="1">
      <formula>$A$13=FALSE</formula>
    </cfRule>
  </conditionalFormatting>
  <conditionalFormatting sqref="H5:K5">
    <cfRule type="expression" dxfId="196" priority="263">
      <formula>$H$5="Bitte Temperaturen vorgeben"</formula>
    </cfRule>
    <cfRule type="expression" dxfId="195" priority="262">
      <formula>$H$5="Temperaturen definiert"</formula>
    </cfRule>
  </conditionalFormatting>
  <conditionalFormatting sqref="H48:L48">
    <cfRule type="cellIs" dxfId="194" priority="64" operator="equal">
      <formula>"Wert eingeben"</formula>
    </cfRule>
    <cfRule type="cellIs" dxfId="193" priority="62" operator="equal">
      <formula>"Wert vorhanden"</formula>
    </cfRule>
    <cfRule type="cellIs" dxfId="192" priority="63" operator="equal">
      <formula>"Wert über 0 eingeben"</formula>
    </cfRule>
  </conditionalFormatting>
  <conditionalFormatting sqref="I25">
    <cfRule type="expression" dxfId="191" priority="348">
      <formula>#REF!="NEIN"</formula>
    </cfRule>
  </conditionalFormatting>
  <conditionalFormatting sqref="I44:I48">
    <cfRule type="expression" dxfId="190" priority="60">
      <formula>$A$14=FALSE</formula>
    </cfRule>
  </conditionalFormatting>
  <conditionalFormatting sqref="I38:L38">
    <cfRule type="expression" dxfId="189" priority="21">
      <formula>$K$28=FALSE</formula>
    </cfRule>
  </conditionalFormatting>
  <conditionalFormatting sqref="J49:K49">
    <cfRule type="expression" dxfId="188" priority="69">
      <formula>#REF!="NEIN"</formula>
    </cfRule>
  </conditionalFormatting>
  <conditionalFormatting sqref="L48">
    <cfRule type="cellIs" dxfId="187" priority="75" operator="equal">
      <formula>"Größe nicht berücksichtigt"</formula>
    </cfRule>
  </conditionalFormatting>
  <conditionalFormatting sqref="L49:O49">
    <cfRule type="expression" dxfId="186" priority="103">
      <formula>#REF!="NEIN"</formula>
    </cfRule>
  </conditionalFormatting>
  <conditionalFormatting sqref="N23">
    <cfRule type="cellIs" dxfId="185" priority="345" operator="equal">
      <formula>"Wert vorhanden"</formula>
    </cfRule>
    <cfRule type="cellIs" dxfId="184" priority="346" operator="equal">
      <formula>"Wert über 0 eingeben"</formula>
    </cfRule>
    <cfRule type="cellIs" dxfId="183" priority="347" operator="equal">
      <formula>"Wert eingeben"</formula>
    </cfRule>
    <cfRule type="expression" dxfId="182" priority="344">
      <formula>$K$28=FALSE</formula>
    </cfRule>
  </conditionalFormatting>
  <conditionalFormatting sqref="N24">
    <cfRule type="expression" dxfId="181" priority="3">
      <formula>$K$28=FALSE</formula>
    </cfRule>
    <cfRule type="expression" dxfId="180" priority="4">
      <formula>$N$17="pε (Konzentration redoxwirksame Spezies)"</formula>
    </cfRule>
    <cfRule type="expression" dxfId="179" priority="5">
      <formula>OR($N$17="U (Redoxspannung gemessen)",$N$17="Eh (Redoxpotenzial auf Wasserstoff=0 bezogen)")</formula>
    </cfRule>
  </conditionalFormatting>
  <conditionalFormatting sqref="N22:O22 N23:Q23">
    <cfRule type="expression" dxfId="178" priority="337">
      <formula>OR($N$17="U (Redoxspannung gemessen)",$N$17="Eh (Redoxpotenzial auf Wasserstoff=0 bezogen)")</formula>
    </cfRule>
  </conditionalFormatting>
  <conditionalFormatting sqref="N22:O22 O23:Q24">
    <cfRule type="expression" dxfId="177" priority="335">
      <formula>$K$28=FALSE</formula>
    </cfRule>
    <cfRule type="expression" dxfId="176" priority="336">
      <formula>$N$17="pε (Konzentration redoxwirksame Spezies)"</formula>
    </cfRule>
  </conditionalFormatting>
  <conditionalFormatting sqref="O48:O49">
    <cfRule type="expression" dxfId="175" priority="79">
      <formula>$M$49=FALSE</formula>
    </cfRule>
  </conditionalFormatting>
  <conditionalFormatting sqref="O48:P48">
    <cfRule type="cellIs" dxfId="174" priority="85" operator="equal">
      <formula>"Wert eingeben"</formula>
    </cfRule>
    <cfRule type="cellIs" dxfId="173" priority="84" operator="equal">
      <formula>"Wert über 0 eingeben"</formula>
    </cfRule>
    <cfRule type="cellIs" dxfId="172" priority="83" operator="equal">
      <formula>"Wert vorhanden"</formula>
    </cfRule>
  </conditionalFormatting>
  <conditionalFormatting sqref="O18:Q18 O21:Q21">
    <cfRule type="expression" dxfId="171" priority="309">
      <formula>#REF!="NEIN"</formula>
    </cfRule>
  </conditionalFormatting>
  <conditionalFormatting sqref="O23:Q28 N22:O22">
    <cfRule type="expression" dxfId="170" priority="228">
      <formula>#REF!="NEIN"</formula>
    </cfRule>
  </conditionalFormatting>
  <conditionalFormatting sqref="O24:S24 N27:S27 N25:Q26 H25:H27">
    <cfRule type="expression" dxfId="169" priority="301">
      <formula>#REF!="NEIN"</formula>
    </cfRule>
  </conditionalFormatting>
  <conditionalFormatting sqref="P23">
    <cfRule type="expression" dxfId="168" priority="204">
      <formula>$A$13=FALSE</formula>
    </cfRule>
  </conditionalFormatting>
  <conditionalFormatting sqref="P24">
    <cfRule type="expression" dxfId="167" priority="206">
      <formula>$A$13=FALSE</formula>
    </cfRule>
  </conditionalFormatting>
  <conditionalFormatting sqref="P49:R49">
    <cfRule type="expression" dxfId="166" priority="2">
      <formula>#REF!="NEIN"</formula>
    </cfRule>
  </conditionalFormatting>
  <conditionalFormatting sqref="Q23">
    <cfRule type="expression" dxfId="165" priority="201">
      <formula>$A$14=FALSE</formula>
    </cfRule>
  </conditionalFormatting>
  <conditionalFormatting sqref="Q24">
    <cfRule type="expression" dxfId="164" priority="202">
      <formula>$A$14=FALSE</formula>
    </cfRule>
  </conditionalFormatting>
  <conditionalFormatting sqref="Q48:R48">
    <cfRule type="cellIs" dxfId="163" priority="77" operator="equal">
      <formula>"Wert über 0 eingeben"</formula>
    </cfRule>
    <cfRule type="cellIs" dxfId="162" priority="76" operator="equal">
      <formula>"Wert vorhanden"</formula>
    </cfRule>
    <cfRule type="cellIs" dxfId="161" priority="78" operator="equal">
      <formula>"Wert eingeben"</formula>
    </cfRule>
  </conditionalFormatting>
  <conditionalFormatting sqref="R19">
    <cfRule type="expression" dxfId="160" priority="219">
      <formula>#REF!="NEIN"</formula>
    </cfRule>
  </conditionalFormatting>
  <conditionalFormatting sqref="R23">
    <cfRule type="cellIs" dxfId="159" priority="287" operator="equal">
      <formula>"Wert eingeben"</formula>
    </cfRule>
    <cfRule type="cellIs" dxfId="158" priority="284" operator="equal">
      <formula>"Wert über maximaler Löslichkeit"</formula>
    </cfRule>
    <cfRule type="cellIs" dxfId="157" priority="285" operator="equal">
      <formula>"Wert vorhanden"</formula>
    </cfRule>
    <cfRule type="cellIs" dxfId="156" priority="286" operator="equal">
      <formula>"Wert über 0 eingeben"</formula>
    </cfRule>
  </conditionalFormatting>
  <conditionalFormatting sqref="R22:S28">
    <cfRule type="expression" dxfId="155" priority="218">
      <formula>$K$28=FALSE</formula>
    </cfRule>
  </conditionalFormatting>
  <conditionalFormatting sqref="R37:X37">
    <cfRule type="cellIs" dxfId="154" priority="110" operator="equal">
      <formula>"Wert eingeben"</formula>
    </cfRule>
    <cfRule type="cellIs" dxfId="153" priority="113" operator="equal">
      <formula>"Größe nicht berücksichtigt"</formula>
    </cfRule>
    <cfRule type="cellIs" dxfId="152" priority="109" operator="equal">
      <formula>"Wert über 0 eingeben"</formula>
    </cfRule>
    <cfRule type="cellIs" dxfId="151" priority="108" operator="equal">
      <formula>"Wert vorhanden"</formula>
    </cfRule>
  </conditionalFormatting>
  <conditionalFormatting sqref="S11:S15 M17:M21 M28 S29:S30">
    <cfRule type="expression" dxfId="150" priority="307">
      <formula>#REF!="NEIN"</formula>
    </cfRule>
  </conditionalFormatting>
  <conditionalFormatting sqref="S25">
    <cfRule type="expression" dxfId="149" priority="295">
      <formula>#REF!="NEIN"</formula>
    </cfRule>
  </conditionalFormatting>
  <conditionalFormatting sqref="S28">
    <cfRule type="expression" dxfId="148" priority="294">
      <formula>#REF!="NEIN"</formula>
    </cfRule>
  </conditionalFormatting>
  <conditionalFormatting sqref="T23">
    <cfRule type="expression" dxfId="147" priority="203">
      <formula>$A$13=FALSE</formula>
    </cfRule>
  </conditionalFormatting>
  <conditionalFormatting sqref="T24:T28">
    <cfRule type="expression" dxfId="146" priority="205">
      <formula>$A$13=FALSE</formula>
    </cfRule>
  </conditionalFormatting>
  <conditionalFormatting sqref="T11:U15 N17:N19 N21:N23 N25:N28">
    <cfRule type="expression" dxfId="145" priority="308">
      <formula>#REF!="NEIN"</formula>
    </cfRule>
  </conditionalFormatting>
  <conditionalFormatting sqref="T23:U28">
    <cfRule type="expression" dxfId="144" priority="207">
      <formula>$K$28=FALSE</formula>
    </cfRule>
  </conditionalFormatting>
  <conditionalFormatting sqref="T24:U25">
    <cfRule type="expression" dxfId="143" priority="214">
      <formula>#REF!="NEIN"</formula>
    </cfRule>
  </conditionalFormatting>
  <conditionalFormatting sqref="T27:U30">
    <cfRule type="expression" dxfId="142" priority="208">
      <formula>#REF!="NEIN"</formula>
    </cfRule>
  </conditionalFormatting>
  <conditionalFormatting sqref="U23">
    <cfRule type="expression" dxfId="141" priority="199">
      <formula>$A$14=FALSE</formula>
    </cfRule>
  </conditionalFormatting>
  <conditionalFormatting sqref="U24:U28">
    <cfRule type="expression" dxfId="140" priority="200">
      <formula>$A$14=FALSE</formula>
    </cfRule>
  </conditionalFormatting>
  <conditionalFormatting sqref="Y32:AA32 H50:S50">
    <cfRule type="expression" dxfId="139" priority="310">
      <formula>#REF!="NEIN"</formula>
    </cfRule>
  </conditionalFormatting>
  <dataValidations count="4">
    <dataValidation type="list" operator="equal" allowBlank="1" showErrorMessage="1" sqref="A48:A50" xr:uid="{00000000-0002-0000-0000-000003000000}">
      <formula1>"$Daten!B32:B33"</formula1>
      <formula2>0</formula2>
    </dataValidation>
    <dataValidation operator="equal" showDropDown="1" showErrorMessage="1" sqref="R23 D23:N23 R37:X37 F48 O48:R48 H48:L48 D37:P37" xr:uid="{5728ABD6-0F66-4B23-8D77-C6E8FF889530}"/>
    <dataValidation allowBlank="1" showInputMessage="1" showErrorMessage="1" errorTitle="Temperaturen Zwischenkreislauf" error="Temperaturen Zwischenkreislauf müssen kleiner sein als Grubenwasser,_x000a_Auslauftemperatur muss über Einlauftempertur liegen" sqref="I9:J9" xr:uid="{4AF1D987-77A4-4144-A6A4-FD4297313D2B}"/>
    <dataValidation operator="equal" showErrorMessage="1" sqref="O23:Q24 M17 M24 O22 T15 N25:Q29 M49:N49 I50:L50 R29:U30 V31:X32 O18:Q18 M19:M22" xr:uid="{74662CBB-A44A-4FC4-8D4F-B9935F4DCEF1}"/>
  </dataValidations>
  <pageMargins left="0.78749999999999998" right="0.78749999999999998" top="1.0249999999999999" bottom="1.0249999999999999" header="0.78749999999999998" footer="0.78749999999999998"/>
  <pageSetup paperSize="128" orientation="landscape" useFirstPageNumber="1" horizontalDpi="300" verticalDpi="300" r:id="rId1"/>
  <headerFooter>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76" r:id="rId4" name="Check Box 52">
              <controlPr locked="0" defaultSize="0" autoFill="0" autoLine="0" autoPict="0">
                <anchor moveWithCells="1">
                  <from>
                    <xdr:col>3</xdr:col>
                    <xdr:colOff>57150</xdr:colOff>
                    <xdr:row>24</xdr:row>
                    <xdr:rowOff>133350</xdr:rowOff>
                  </from>
                  <to>
                    <xdr:col>3</xdr:col>
                    <xdr:colOff>361950</xdr:colOff>
                    <xdr:row>26</xdr:row>
                    <xdr:rowOff>47625</xdr:rowOff>
                  </to>
                </anchor>
              </controlPr>
            </control>
          </mc:Choice>
        </mc:AlternateContent>
        <mc:AlternateContent xmlns:mc="http://schemas.openxmlformats.org/markup-compatibility/2006">
          <mc:Choice Requires="x14">
            <control shapeId="1077" r:id="rId5" name="Check Box 53">
              <controlPr locked="0" defaultSize="0" autoFill="0" autoLine="0" autoPict="0">
                <anchor moveWithCells="1">
                  <from>
                    <xdr:col>3</xdr:col>
                    <xdr:colOff>57150</xdr:colOff>
                    <xdr:row>25</xdr:row>
                    <xdr:rowOff>142875</xdr:rowOff>
                  </from>
                  <to>
                    <xdr:col>3</xdr:col>
                    <xdr:colOff>361950</xdr:colOff>
                    <xdr:row>27</xdr:row>
                    <xdr:rowOff>47625</xdr:rowOff>
                  </to>
                </anchor>
              </controlPr>
            </control>
          </mc:Choice>
        </mc:AlternateContent>
        <mc:AlternateContent xmlns:mc="http://schemas.openxmlformats.org/markup-compatibility/2006">
          <mc:Choice Requires="x14">
            <control shapeId="1088" r:id="rId6" name="Check Box 64">
              <controlPr locked="0" defaultSize="0" autoFill="0" autoLine="0" autoPict="0">
                <anchor moveWithCells="1">
                  <from>
                    <xdr:col>3</xdr:col>
                    <xdr:colOff>1190625</xdr:colOff>
                    <xdr:row>1</xdr:row>
                    <xdr:rowOff>133350</xdr:rowOff>
                  </from>
                  <to>
                    <xdr:col>3</xdr:col>
                    <xdr:colOff>1504950</xdr:colOff>
                    <xdr:row>3</xdr:row>
                    <xdr:rowOff>28575</xdr:rowOff>
                  </to>
                </anchor>
              </controlPr>
            </control>
          </mc:Choice>
        </mc:AlternateContent>
        <mc:AlternateContent xmlns:mc="http://schemas.openxmlformats.org/markup-compatibility/2006">
          <mc:Choice Requires="x14">
            <control shapeId="1098" r:id="rId7" name="Check Box 74">
              <controlPr locked="0" defaultSize="0" autoFill="0" autoLine="0" autoPict="0">
                <anchor moveWithCells="1">
                  <from>
                    <xdr:col>9</xdr:col>
                    <xdr:colOff>381000</xdr:colOff>
                    <xdr:row>26</xdr:row>
                    <xdr:rowOff>123825</xdr:rowOff>
                  </from>
                  <to>
                    <xdr:col>9</xdr:col>
                    <xdr:colOff>742950</xdr:colOff>
                    <xdr:row>28</xdr:row>
                    <xdr:rowOff>47625</xdr:rowOff>
                  </to>
                </anchor>
              </controlPr>
            </control>
          </mc:Choice>
        </mc:AlternateContent>
        <mc:AlternateContent xmlns:mc="http://schemas.openxmlformats.org/markup-compatibility/2006">
          <mc:Choice Requires="x14">
            <control shapeId="1113" r:id="rId8" name="Check Box 89">
              <controlPr locked="0" defaultSize="0" autoFill="0" autoLine="0" autoPict="0">
                <anchor moveWithCells="1">
                  <from>
                    <xdr:col>12</xdr:col>
                    <xdr:colOff>523875</xdr:colOff>
                    <xdr:row>43</xdr:row>
                    <xdr:rowOff>66675</xdr:rowOff>
                  </from>
                  <to>
                    <xdr:col>13</xdr:col>
                    <xdr:colOff>266700</xdr:colOff>
                    <xdr:row>46</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17" id="{00000000-000E-0000-0000-000014000000}">
            <xm:f>$H$4=Punkteberechnung!$B$33</xm:f>
            <x14:dxf>
              <font>
                <color rgb="FFFFFFFF"/>
                <name val="Arial"/>
              </font>
              <fill>
                <patternFill>
                  <bgColor rgb="FFFFFFFF"/>
                </patternFill>
              </fill>
            </x14:dxf>
          </x14:cfRule>
          <xm:sqref>C6 G8</xm:sqref>
        </x14:conditionalFormatting>
        <x14:conditionalFormatting xmlns:xm="http://schemas.microsoft.com/office/excel/2006/main">
          <x14:cfRule type="expression" priority="318" id="{00000000-000E-0000-0000-000015000000}">
            <xm:f>$H$4=Punkteberechnung!$B$34</xm:f>
            <x14:dxf>
              <font>
                <color rgb="FFFFFFFF"/>
                <name val="Arial"/>
              </font>
              <fill>
                <patternFill>
                  <bgColor rgb="FFFFFFFF"/>
                </patternFill>
              </fill>
            </x14:dxf>
          </x14:cfRule>
          <xm:sqref>G7</xm:sqref>
        </x14:conditionalFormatting>
      </x14:conditionalFormattings>
    </ext>
    <ext xmlns:x14="http://schemas.microsoft.com/office/spreadsheetml/2009/9/main" uri="{CCE6A557-97BC-4b89-ADB6-D9C93CAAB3DF}">
      <x14:dataValidations xmlns:xm="http://schemas.microsoft.com/office/excel/2006/main" count="9">
        <x14:dataValidation type="list" operator="equal" showErrorMessage="1" xr:uid="{00000000-0002-0000-0000-000000000000}">
          <x14:formula1>
            <xm:f>Punkteberechnung!$B$28:$B$31</xm:f>
          </x14:formula1>
          <x14:formula2>
            <xm:f>0</xm:f>
          </x14:formula2>
          <xm:sqref>A3</xm:sqref>
        </x14:dataValidation>
        <x14:dataValidation type="list" operator="equal" showErrorMessage="1" xr:uid="{00000000-0002-0000-0000-000002000000}">
          <x14:formula1>
            <xm:f>Punkteberechnung!$B$11:$B$14</xm:f>
          </x14:formula1>
          <x14:formula2>
            <xm:f>0</xm:f>
          </x14:formula2>
          <xm:sqref>O21:Q21 T11:T14 U11:U15 S11:S15 M18 M28</xm:sqref>
        </x14:dataValidation>
        <x14:dataValidation type="list" operator="equal" allowBlank="1" showErrorMessage="1" xr:uid="{00000000-0002-0000-0000-000005000000}">
          <x14:formula1>
            <xm:f>Punkteberechnung!$B$33:$B$34</xm:f>
          </x14:formula1>
          <xm:sqref>H4</xm:sqref>
        </x14:dataValidation>
        <x14:dataValidation type="list" allowBlank="1" showInputMessage="1" showErrorMessage="1" xr:uid="{DB149686-5C22-47AA-81D2-D64F503B8E02}">
          <x14:formula1>
            <xm:f>Punkteberechnung!$B$36:$B$38</xm:f>
          </x14:formula1>
          <xm:sqref>N17</xm:sqref>
        </x14:dataValidation>
        <x14:dataValidation type="list" operator="equal" showErrorMessage="1" xr:uid="{00000000-0002-0000-0000-000004000000}">
          <x14:formula1>
            <xm:f>Punkteberechnung!$B$19:$B$21</xm:f>
          </x14:formula1>
          <x14:formula2>
            <xm:f>0</xm:f>
          </x14:formula2>
          <xm:sqref>AA32</xm:sqref>
        </x14:dataValidation>
        <x14:dataValidation type="list" operator="equal" showErrorMessage="1" xr:uid="{00000000-0002-0000-0000-000001000000}">
          <x14:formula1>
            <xm:f>Punkteberechnung!$B$23:$B$24</xm:f>
          </x14:formula1>
          <x14:formula2>
            <xm:f>0</xm:f>
          </x14:formula2>
          <xm:sqref>Y31:AA31</xm:sqref>
        </x14:dataValidation>
        <x14:dataValidation type="list" allowBlank="1" showInputMessage="1" showErrorMessage="1" xr:uid="{BD22AB58-6D69-420D-8132-1C9C73377A73}">
          <x14:formula1>
            <xm:f>Punkteberechnung!$B$40:$B$44</xm:f>
          </x14:formula1>
          <xm:sqref>Q49</xm:sqref>
        </x14:dataValidation>
        <x14:dataValidation type="list" allowBlank="1" showInputMessage="1" showErrorMessage="1" xr:uid="{1F31F689-563B-435D-94E0-C4D850128206}">
          <x14:formula1>
            <xm:f>Punkteberechnung!$B$11:$B$15</xm:f>
          </x14:formula1>
          <xm:sqref>M38:P38 W38:X38</xm:sqref>
        </x14:dataValidation>
        <x14:dataValidation type="list" allowBlank="1" showInputMessage="1" showErrorMessage="1" xr:uid="{8FD30098-82E8-422E-BFA2-52C48F4F4BEC}">
          <x14:formula1>
            <xm:f>Waermeuebertrager!$A$1:$A$29</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FC0C-404F-481D-9C9C-9FE38A74E1E8}">
  <sheetPr>
    <tabColor rgb="FFC7E16A"/>
  </sheetPr>
  <dimension ref="A1:AP383"/>
  <sheetViews>
    <sheetView zoomScaleNormal="100" workbookViewId="0">
      <selection activeCell="J32" sqref="J32"/>
    </sheetView>
  </sheetViews>
  <sheetFormatPr baseColWidth="10" defaultRowHeight="12.75" x14ac:dyDescent="0.2"/>
  <cols>
    <col min="3" max="3" width="13.140625" customWidth="1"/>
    <col min="4" max="4" width="15.28515625" customWidth="1"/>
    <col min="5" max="5" width="13" customWidth="1"/>
    <col min="6" max="6" width="21.5703125" customWidth="1"/>
    <col min="7" max="7" width="20.42578125" customWidth="1"/>
    <col min="8" max="8" width="14.28515625" style="241" customWidth="1"/>
    <col min="9" max="9" width="15.42578125" style="241" customWidth="1"/>
    <col min="10" max="11" width="11.5703125" bestFit="1" customWidth="1"/>
    <col min="12" max="12" width="13.140625" bestFit="1" customWidth="1"/>
    <col min="13" max="13" width="12.42578125" bestFit="1" customWidth="1"/>
    <col min="14" max="14" width="11.5703125" bestFit="1" customWidth="1"/>
    <col min="19" max="21" width="11.42578125" style="436"/>
    <col min="22" max="25" width="11.5703125" style="436" bestFit="1" customWidth="1"/>
    <col min="26" max="26" width="15.28515625" style="436" bestFit="1" customWidth="1"/>
    <col min="27" max="28" width="11.5703125" style="436" bestFit="1" customWidth="1"/>
    <col min="29" max="30" width="13.5703125" style="436" bestFit="1" customWidth="1"/>
    <col min="31" max="31" width="21.42578125" style="436" bestFit="1" customWidth="1"/>
    <col min="32" max="32" width="11.5703125" style="436" bestFit="1" customWidth="1"/>
    <col min="33" max="40" width="11.42578125" style="436"/>
    <col min="41" max="42" width="11.42578125" style="252"/>
  </cols>
  <sheetData>
    <row r="1" spans="1:42" s="241" customFormat="1" x14ac:dyDescent="0.2">
      <c r="A1" s="117"/>
      <c r="B1" s="663" t="s">
        <v>1032</v>
      </c>
      <c r="C1" s="663"/>
      <c r="D1" s="663"/>
      <c r="E1" s="663"/>
      <c r="F1" s="663"/>
      <c r="G1" s="117"/>
      <c r="H1" s="383"/>
      <c r="I1" s="383"/>
      <c r="J1" s="117"/>
      <c r="K1" s="117"/>
      <c r="L1" s="117"/>
      <c r="M1" s="117"/>
      <c r="N1" s="117"/>
      <c r="O1" s="117"/>
      <c r="P1" s="117"/>
      <c r="Q1" s="117"/>
      <c r="R1" s="117"/>
      <c r="S1" s="436"/>
      <c r="T1" s="252"/>
      <c r="U1" s="252"/>
      <c r="V1" s="252"/>
      <c r="W1" s="252"/>
      <c r="X1" s="252"/>
      <c r="Y1" s="252"/>
      <c r="Z1" s="252"/>
      <c r="AA1" s="252"/>
      <c r="AB1" s="252"/>
      <c r="AC1" s="252"/>
      <c r="AD1" s="252"/>
      <c r="AE1" s="252"/>
      <c r="AF1" s="252"/>
      <c r="AG1" s="252"/>
      <c r="AH1" s="252"/>
      <c r="AI1" s="252"/>
      <c r="AJ1" s="252"/>
      <c r="AK1" s="252"/>
      <c r="AL1" s="436"/>
      <c r="AM1" s="436"/>
      <c r="AN1" s="436"/>
      <c r="AO1" s="252"/>
      <c r="AP1" s="252"/>
    </row>
    <row r="2" spans="1:42" s="241" customFormat="1" x14ac:dyDescent="0.2">
      <c r="A2" s="117"/>
      <c r="B2" s="663"/>
      <c r="C2" s="663"/>
      <c r="D2" s="663"/>
      <c r="E2" s="663"/>
      <c r="F2" s="663"/>
      <c r="G2" s="117"/>
      <c r="H2" s="383"/>
      <c r="I2" s="383"/>
      <c r="J2" s="117"/>
      <c r="K2" s="117"/>
      <c r="L2" s="117"/>
      <c r="M2" s="117"/>
      <c r="N2" s="117"/>
      <c r="O2" s="117"/>
      <c r="P2" s="117"/>
      <c r="Q2" s="117"/>
      <c r="R2" s="117"/>
      <c r="S2" s="436"/>
      <c r="T2" s="252"/>
      <c r="U2" s="252"/>
      <c r="V2" s="252"/>
      <c r="W2" s="252"/>
      <c r="X2" s="252"/>
      <c r="Y2" s="252"/>
      <c r="Z2" s="252"/>
      <c r="AA2" s="252"/>
      <c r="AB2" s="252"/>
      <c r="AC2" s="252"/>
      <c r="AD2" s="252"/>
      <c r="AE2" s="252"/>
      <c r="AF2" s="252"/>
      <c r="AG2" s="252"/>
      <c r="AH2" s="252"/>
      <c r="AI2" s="252"/>
      <c r="AJ2" s="252"/>
      <c r="AK2" s="252"/>
      <c r="AL2" s="436"/>
      <c r="AM2" s="436"/>
      <c r="AN2" s="436"/>
      <c r="AO2" s="252"/>
      <c r="AP2" s="252"/>
    </row>
    <row r="3" spans="1:42" s="241" customFormat="1" ht="12.75" customHeight="1" x14ac:dyDescent="0.2">
      <c r="A3" s="117"/>
      <c r="B3" s="650" t="s">
        <v>495</v>
      </c>
      <c r="C3" s="650"/>
      <c r="D3" s="650"/>
      <c r="E3" s="669" t="s">
        <v>1024</v>
      </c>
      <c r="F3" s="669"/>
      <c r="G3" s="117"/>
      <c r="H3" s="641" t="s">
        <v>1002</v>
      </c>
      <c r="I3" s="383"/>
      <c r="J3" s="159"/>
      <c r="K3" s="176"/>
      <c r="L3" s="176"/>
      <c r="M3" s="176"/>
      <c r="N3" s="176"/>
      <c r="O3" s="176"/>
      <c r="P3" s="176"/>
      <c r="Q3" s="176"/>
      <c r="R3" s="120"/>
      <c r="S3" s="436"/>
      <c r="T3" s="252"/>
      <c r="U3" s="252"/>
      <c r="V3" s="252"/>
      <c r="W3" s="252" t="s">
        <v>998</v>
      </c>
      <c r="X3" s="252"/>
      <c r="Y3" s="252"/>
      <c r="Z3" s="252"/>
      <c r="AA3" s="252"/>
      <c r="AB3" s="252"/>
      <c r="AC3" s="252"/>
      <c r="AD3" s="252"/>
      <c r="AE3" s="252"/>
      <c r="AF3" s="252"/>
      <c r="AG3" s="252"/>
      <c r="AH3" s="252"/>
      <c r="AI3" s="252"/>
      <c r="AJ3" s="252"/>
      <c r="AK3" s="252"/>
      <c r="AL3" s="436"/>
      <c r="AM3" s="436"/>
      <c r="AN3" s="436"/>
      <c r="AO3" s="252"/>
      <c r="AP3" s="252"/>
    </row>
    <row r="4" spans="1:42" x14ac:dyDescent="0.2">
      <c r="A4" s="117"/>
      <c r="B4" s="648" t="s">
        <v>476</v>
      </c>
      <c r="C4" s="648"/>
      <c r="D4" s="648"/>
      <c r="E4" s="648"/>
      <c r="F4" s="648"/>
      <c r="G4" s="117"/>
      <c r="H4" s="641"/>
      <c r="I4" s="383"/>
      <c r="J4" s="162"/>
      <c r="K4" s="132"/>
      <c r="L4" s="132"/>
      <c r="M4" s="132"/>
      <c r="N4" s="132"/>
      <c r="O4" s="132"/>
      <c r="P4" s="132"/>
      <c r="Q4" s="132"/>
      <c r="R4" s="122"/>
      <c r="T4" s="252"/>
      <c r="U4" s="252"/>
      <c r="V4" s="252"/>
      <c r="W4" s="252" t="s">
        <v>999</v>
      </c>
      <c r="X4" s="252" t="s">
        <v>32</v>
      </c>
      <c r="Y4" s="252" t="s">
        <v>208</v>
      </c>
      <c r="Z4" s="252"/>
      <c r="AA4" s="252"/>
      <c r="AB4" s="252"/>
      <c r="AC4" s="252"/>
      <c r="AD4" s="252"/>
      <c r="AE4" s="252"/>
      <c r="AF4" s="252"/>
      <c r="AG4" s="252"/>
      <c r="AH4" s="252"/>
      <c r="AI4" s="252"/>
      <c r="AJ4" s="252"/>
      <c r="AK4" s="252"/>
    </row>
    <row r="5" spans="1:42" ht="12.75" customHeight="1" x14ac:dyDescent="0.2">
      <c r="A5" s="117"/>
      <c r="B5" s="648"/>
      <c r="C5" s="648"/>
      <c r="D5" s="648"/>
      <c r="E5" s="648"/>
      <c r="F5" s="648"/>
      <c r="G5" s="117"/>
      <c r="H5" s="652" t="str">
        <f>W17</f>
        <v>D</v>
      </c>
      <c r="I5" s="383"/>
      <c r="J5" s="162"/>
      <c r="K5" s="132"/>
      <c r="L5" s="132"/>
      <c r="M5" s="132"/>
      <c r="N5" s="132"/>
      <c r="O5" s="132"/>
      <c r="P5" s="132"/>
      <c r="Q5" s="432">
        <f>B32-B29</f>
        <v>9.9999999999999978E-2</v>
      </c>
      <c r="R5" s="433">
        <f>C32-C29</f>
        <v>9.806051802449478E-2</v>
      </c>
      <c r="S5" s="441">
        <f>D32-D29</f>
        <v>0.33510582010582007</v>
      </c>
      <c r="T5" s="382">
        <f>E32-E29</f>
        <v>0.25124999999999997</v>
      </c>
      <c r="U5" s="382">
        <f>F32-F29</f>
        <v>7.2930485234363074E-2</v>
      </c>
      <c r="V5" s="252"/>
      <c r="W5" s="382">
        <f>F29</f>
        <v>0.72605310101266174</v>
      </c>
      <c r="X5" s="382">
        <f>E29</f>
        <v>0.74875000000000003</v>
      </c>
      <c r="Y5" s="382">
        <f>-C99</f>
        <v>0.52106659258668764</v>
      </c>
      <c r="Z5" s="252"/>
      <c r="AA5" s="252"/>
      <c r="AB5" s="252" t="s">
        <v>1005</v>
      </c>
      <c r="AC5" s="252" t="s">
        <v>71</v>
      </c>
      <c r="AD5" s="252" t="s">
        <v>1003</v>
      </c>
      <c r="AE5" s="252" t="s">
        <v>1004</v>
      </c>
      <c r="AF5" s="252" t="s">
        <v>1006</v>
      </c>
      <c r="AG5" s="252" t="s">
        <v>1007</v>
      </c>
      <c r="AH5" s="252" t="s">
        <v>1008</v>
      </c>
      <c r="AI5" s="252" t="s">
        <v>1009</v>
      </c>
      <c r="AJ5" s="252" t="s">
        <v>1010</v>
      </c>
      <c r="AK5" s="252"/>
    </row>
    <row r="6" spans="1:42" ht="12.75" customHeight="1" x14ac:dyDescent="0.2">
      <c r="A6" s="117"/>
      <c r="B6" s="649" t="s">
        <v>496</v>
      </c>
      <c r="C6" s="649"/>
      <c r="D6" s="268">
        <f>SUM(B21:F21)</f>
        <v>135.11344586976773</v>
      </c>
      <c r="E6" s="269" t="s">
        <v>472</v>
      </c>
      <c r="F6" s="270">
        <f>SUM(B23:F23)</f>
        <v>280</v>
      </c>
      <c r="G6" s="117"/>
      <c r="H6" s="652"/>
      <c r="I6" s="383"/>
      <c r="J6" s="162"/>
      <c r="K6" s="132"/>
      <c r="L6" s="132"/>
      <c r="M6" s="132"/>
      <c r="N6" s="132"/>
      <c r="O6" s="132"/>
      <c r="P6" s="132"/>
      <c r="Q6" s="432">
        <f>B29-B31</f>
        <v>9.9999999999999978E-2</v>
      </c>
      <c r="R6" s="433">
        <f>C29-C31</f>
        <v>9.806051802449478E-2</v>
      </c>
      <c r="S6" s="441">
        <f>D29-D31</f>
        <v>0.23696239903400557</v>
      </c>
      <c r="T6" s="382">
        <f>E29-E31</f>
        <v>0.51117142857142861</v>
      </c>
      <c r="U6" s="382">
        <f>F29-F31</f>
        <v>-2.2307610003732381E-2</v>
      </c>
      <c r="V6" s="252"/>
      <c r="W6" s="437" t="str">
        <f>IF(W5&gt;90%,"A+",IF(AND(W5&lt;=90%,W5&gt;80%),"A",IF(AND(W5&lt;=80%,W5&gt;70%),"B",IF(AND(W5&lt;=70%,W5&gt;60%),"C",IF(AND(W5&lt;=60%,W5&gt;50%),"D",IF(AND(W5&lt;=50%,W5&gt;40%),"E",IF(AND(W5&lt;=40%,W5&gt;30%),"F",IF(AND(W5&lt;=30%,W5&gt;20%),"G",IF(W5&lt;20%,"H","")))))))))</f>
        <v>B</v>
      </c>
      <c r="X6" s="437" t="str">
        <f>IF(X5&gt;90%,"A+",IF(AND(X5&lt;=90%,X5&gt;80%),"A",IF(AND(X5&lt;=80%,X5&gt;70%),"B",IF(AND(X5&lt;=70%,X5&gt;60%),"C",IF(AND(X5&lt;=60%,X5&gt;50%),"D",IF(AND(X5&lt;=50%,X5&gt;40%),"E",IF(AND(X5&lt;=40%,X5&gt;30%),"F",IF(AND(X5&lt;=30%,X5&gt;20%),"G",IF(X5&lt;20%,"H","")))))))))</f>
        <v>B</v>
      </c>
      <c r="Y6" s="437" t="str">
        <f>IF(AND(Y5&lt;=5%,Y5&gt;0%),"A+",IF(AND(Y5&lt;=10%,Y5&gt;5%),"A",IF(AND(Y5&lt;=15%,Y5&gt;10%),"B",IF(AND(Y5&lt;=20%,Y5&gt;15%),"C",IF(AND(Y5&lt;=30%,Y5&gt;20%),"D",IF(AND(Y5&lt;=40%,Y5&gt;30%),"E",IF(AND(Y5&lt;=50%,Y5&gt;40%),"F",IF(AND(Y5&lt;=60%,Y5&gt;50%),"G",IF(Y5&gt;60%,"H","")))))))))</f>
        <v>G</v>
      </c>
      <c r="Z6" s="252"/>
      <c r="AA6" s="252"/>
      <c r="AB6" s="252"/>
      <c r="AC6" s="252"/>
      <c r="AD6" s="252"/>
      <c r="AE6" s="252"/>
      <c r="AF6" s="252"/>
      <c r="AG6" s="252"/>
      <c r="AH6" s="252"/>
      <c r="AI6" s="252"/>
      <c r="AJ6" s="252"/>
      <c r="AK6" s="252"/>
    </row>
    <row r="7" spans="1:42" ht="12.75" customHeight="1" x14ac:dyDescent="0.2">
      <c r="A7" s="117"/>
      <c r="B7" s="650" t="s">
        <v>497</v>
      </c>
      <c r="C7" s="650"/>
      <c r="D7" s="671">
        <f>D6/F6</f>
        <v>0.48254802096345617</v>
      </c>
      <c r="E7" s="671"/>
      <c r="F7" s="671"/>
      <c r="G7" s="117"/>
      <c r="H7" s="652"/>
      <c r="I7" s="383"/>
      <c r="J7" s="162"/>
      <c r="K7" s="132"/>
      <c r="L7" s="132"/>
      <c r="M7" s="132"/>
      <c r="N7" s="132"/>
      <c r="O7" s="132"/>
      <c r="P7" s="132"/>
      <c r="Q7" s="244"/>
      <c r="R7" s="377"/>
      <c r="T7" s="252"/>
      <c r="U7" s="252"/>
      <c r="V7" s="252"/>
      <c r="W7" s="252" t="s">
        <v>1029</v>
      </c>
      <c r="X7" s="442">
        <f>IF(Y6="A+",0.95,IF(Y6="A",0.85,IF(Y6="B",0.75,IF(Y6="C",0.65,IF(Y6="D",0.55,IF(Y6="E",0.45,IF(Y6="F",0.35,IF(Y6="G",0.25,IF(Y6="H",0.1,"")))))))))</f>
        <v>0.25</v>
      </c>
      <c r="Y7" s="252" t="s">
        <v>1030</v>
      </c>
      <c r="Z7" s="442">
        <f>1-Y5</f>
        <v>0.47893340741331236</v>
      </c>
      <c r="AA7" s="252"/>
      <c r="AB7" s="252"/>
      <c r="AC7" s="252"/>
      <c r="AD7" s="252"/>
      <c r="AE7" s="252"/>
      <c r="AF7" s="252"/>
      <c r="AG7" s="252"/>
      <c r="AH7" s="252"/>
      <c r="AI7" s="252"/>
      <c r="AJ7" s="252"/>
      <c r="AK7" s="252"/>
    </row>
    <row r="8" spans="1:42" s="241" customFormat="1" ht="12.75" customHeight="1" x14ac:dyDescent="0.2">
      <c r="A8" s="387"/>
      <c r="B8" s="648" t="s">
        <v>998</v>
      </c>
      <c r="C8" s="648"/>
      <c r="D8" s="648"/>
      <c r="E8" s="648"/>
      <c r="F8" s="648"/>
      <c r="G8" s="387"/>
      <c r="H8" s="387"/>
      <c r="I8" s="387"/>
      <c r="J8" s="162"/>
      <c r="K8" s="132"/>
      <c r="L8" s="132"/>
      <c r="M8" s="132"/>
      <c r="N8" s="132"/>
      <c r="O8" s="132"/>
      <c r="P8" s="132"/>
      <c r="Q8" s="132"/>
      <c r="R8" s="122"/>
      <c r="S8" s="436"/>
      <c r="T8" s="252"/>
      <c r="U8" s="252"/>
      <c r="V8" s="252"/>
      <c r="W8" s="252"/>
      <c r="X8" s="252" t="s">
        <v>1026</v>
      </c>
      <c r="Y8" s="442" t="str">
        <f>IF(Z7&lt;40%,Z7,"")</f>
        <v/>
      </c>
      <c r="Z8" s="252"/>
      <c r="AA8" s="252"/>
      <c r="AB8" s="252"/>
      <c r="AC8" s="252"/>
      <c r="AD8" s="252"/>
      <c r="AE8" s="252"/>
      <c r="AF8" s="252"/>
      <c r="AG8" s="252"/>
      <c r="AH8" s="252"/>
      <c r="AI8" s="252"/>
      <c r="AJ8" s="252"/>
      <c r="AK8" s="252"/>
      <c r="AL8" s="436"/>
      <c r="AM8" s="436"/>
      <c r="AN8" s="436"/>
      <c r="AO8" s="252"/>
      <c r="AP8" s="252"/>
    </row>
    <row r="9" spans="1:42" s="241" customFormat="1" ht="12.75" customHeight="1" x14ac:dyDescent="0.2">
      <c r="A9" s="387"/>
      <c r="B9" s="648"/>
      <c r="C9" s="648"/>
      <c r="D9" s="648"/>
      <c r="E9" s="648"/>
      <c r="F9" s="648"/>
      <c r="G9" s="387"/>
      <c r="H9" s="387"/>
      <c r="I9" s="387"/>
      <c r="J9" s="162"/>
      <c r="K9" s="132"/>
      <c r="L9" s="132"/>
      <c r="M9" s="132"/>
      <c r="N9" s="132"/>
      <c r="O9" s="132"/>
      <c r="P9" s="132"/>
      <c r="Q9" s="132"/>
      <c r="R9" s="122"/>
      <c r="S9" s="436"/>
      <c r="T9" s="252"/>
      <c r="U9" s="252"/>
      <c r="V9" s="252"/>
      <c r="W9" s="252"/>
      <c r="X9" s="252" t="s">
        <v>1027</v>
      </c>
      <c r="Y9" s="442">
        <f>IF(Z7&gt;80%,Z7,120%)</f>
        <v>1.2</v>
      </c>
      <c r="Z9" s="252"/>
      <c r="AA9" s="252"/>
      <c r="AB9" s="252"/>
      <c r="AC9" s="252"/>
      <c r="AD9" s="252"/>
      <c r="AE9" s="252"/>
      <c r="AF9" s="252"/>
      <c r="AG9" s="252"/>
      <c r="AH9" s="252"/>
      <c r="AI9" s="252"/>
      <c r="AJ9" s="252"/>
      <c r="AK9" s="252"/>
      <c r="AL9" s="436"/>
      <c r="AM9" s="436"/>
      <c r="AN9" s="436"/>
      <c r="AO9" s="252"/>
      <c r="AP9" s="252"/>
    </row>
    <row r="10" spans="1:42" s="241" customFormat="1" ht="12.75" customHeight="1" x14ac:dyDescent="0.2">
      <c r="A10" s="387"/>
      <c r="B10" s="390"/>
      <c r="C10" s="391"/>
      <c r="D10" s="392"/>
      <c r="E10" s="392"/>
      <c r="F10" s="393"/>
      <c r="G10" s="387"/>
      <c r="H10" s="387"/>
      <c r="I10" s="387"/>
      <c r="J10" s="162"/>
      <c r="K10" s="132"/>
      <c r="L10" s="132"/>
      <c r="M10" s="132"/>
      <c r="N10" s="132"/>
      <c r="O10" s="132"/>
      <c r="P10" s="132"/>
      <c r="Q10" s="132"/>
      <c r="R10" s="122"/>
      <c r="S10" s="436"/>
      <c r="T10" s="252"/>
      <c r="U10" s="252"/>
      <c r="V10" s="252"/>
      <c r="W10" s="252"/>
      <c r="X10" s="252"/>
      <c r="Y10" s="442"/>
      <c r="Z10" s="252"/>
      <c r="AA10" s="252"/>
      <c r="AB10" s="252"/>
      <c r="AC10" s="252"/>
      <c r="AD10" s="252"/>
      <c r="AE10" s="252"/>
      <c r="AF10" s="252"/>
      <c r="AG10" s="252"/>
      <c r="AH10" s="252"/>
      <c r="AI10" s="252"/>
      <c r="AJ10" s="252"/>
      <c r="AK10" s="252"/>
      <c r="AL10" s="436"/>
      <c r="AM10" s="436"/>
      <c r="AN10" s="436"/>
      <c r="AO10" s="252"/>
      <c r="AP10" s="252"/>
    </row>
    <row r="11" spans="1:42" s="241" customFormat="1" ht="12.75" customHeight="1" x14ac:dyDescent="0.2">
      <c r="A11" s="387"/>
      <c r="B11" s="394"/>
      <c r="C11" s="388"/>
      <c r="D11" s="389"/>
      <c r="E11" s="389"/>
      <c r="F11" s="395"/>
      <c r="G11" s="387"/>
      <c r="H11" s="387"/>
      <c r="I11" s="387"/>
      <c r="J11" s="162"/>
      <c r="K11" s="132"/>
      <c r="L11" s="132"/>
      <c r="M11" s="132"/>
      <c r="N11" s="132"/>
      <c r="O11" s="132"/>
      <c r="P11" s="132"/>
      <c r="Q11" s="132"/>
      <c r="R11" s="122"/>
      <c r="S11" s="436"/>
      <c r="T11" s="252"/>
      <c r="U11" s="252"/>
      <c r="V11" s="252"/>
      <c r="W11" s="252"/>
      <c r="X11" s="252"/>
      <c r="Y11" s="442"/>
      <c r="Z11" s="252"/>
      <c r="AA11" s="252"/>
      <c r="AB11" s="252"/>
      <c r="AC11" s="252"/>
      <c r="AD11" s="252"/>
      <c r="AE11" s="252"/>
      <c r="AF11" s="252"/>
      <c r="AG11" s="252"/>
      <c r="AH11" s="252"/>
      <c r="AI11" s="252"/>
      <c r="AJ11" s="252"/>
      <c r="AK11" s="252"/>
      <c r="AL11" s="436"/>
      <c r="AM11" s="436"/>
      <c r="AN11" s="436"/>
      <c r="AO11" s="252"/>
      <c r="AP11" s="252"/>
    </row>
    <row r="12" spans="1:42" s="241" customFormat="1" ht="12.75" customHeight="1" x14ac:dyDescent="0.2">
      <c r="A12" s="387"/>
      <c r="B12" s="394"/>
      <c r="C12" s="388"/>
      <c r="D12" s="389"/>
      <c r="E12" s="389"/>
      <c r="F12" s="395"/>
      <c r="G12" s="387"/>
      <c r="H12" s="387"/>
      <c r="I12" s="387"/>
      <c r="J12" s="162"/>
      <c r="K12" s="132"/>
      <c r="L12" s="132"/>
      <c r="M12" s="132"/>
      <c r="N12" s="132"/>
      <c r="O12" s="132"/>
      <c r="P12" s="132"/>
      <c r="Q12" s="132"/>
      <c r="R12" s="122"/>
      <c r="S12" s="436"/>
      <c r="T12" s="252"/>
      <c r="U12" s="252"/>
      <c r="V12" s="252"/>
      <c r="W12" s="252"/>
      <c r="X12" s="252"/>
      <c r="Y12" s="442"/>
      <c r="Z12" s="252"/>
      <c r="AA12" s="252"/>
      <c r="AB12" s="252"/>
      <c r="AC12" s="252"/>
      <c r="AD12" s="252"/>
      <c r="AE12" s="252"/>
      <c r="AF12" s="252"/>
      <c r="AG12" s="252"/>
      <c r="AH12" s="252"/>
      <c r="AI12" s="252"/>
      <c r="AJ12" s="252"/>
      <c r="AK12" s="252"/>
      <c r="AL12" s="436"/>
      <c r="AM12" s="436"/>
      <c r="AN12" s="436"/>
      <c r="AO12" s="252"/>
      <c r="AP12" s="252"/>
    </row>
    <row r="13" spans="1:42" s="241" customFormat="1" ht="12.75" customHeight="1" x14ac:dyDescent="0.2">
      <c r="A13" s="387"/>
      <c r="B13" s="394"/>
      <c r="C13" s="388"/>
      <c r="D13" s="389"/>
      <c r="E13" s="389"/>
      <c r="F13" s="395"/>
      <c r="G13" s="387"/>
      <c r="H13" s="387"/>
      <c r="I13" s="387"/>
      <c r="J13" s="162"/>
      <c r="K13" s="132"/>
      <c r="L13" s="132"/>
      <c r="M13" s="132"/>
      <c r="N13" s="132"/>
      <c r="O13" s="132"/>
      <c r="P13" s="132"/>
      <c r="Q13" s="132"/>
      <c r="R13" s="122"/>
      <c r="S13" s="436"/>
      <c r="T13" s="252"/>
      <c r="U13" s="252"/>
      <c r="V13" s="252"/>
      <c r="W13" s="252"/>
      <c r="X13" s="252"/>
      <c r="Y13" s="442"/>
      <c r="Z13" s="252"/>
      <c r="AA13" s="252"/>
      <c r="AB13" s="252"/>
      <c r="AC13" s="252"/>
      <c r="AD13" s="252"/>
      <c r="AE13" s="252"/>
      <c r="AF13" s="252"/>
      <c r="AG13" s="252"/>
      <c r="AH13" s="252"/>
      <c r="AI13" s="252"/>
      <c r="AJ13" s="252"/>
      <c r="AK13" s="252"/>
      <c r="AL13" s="436"/>
      <c r="AM13" s="436"/>
      <c r="AN13" s="436"/>
      <c r="AO13" s="252"/>
      <c r="AP13" s="252"/>
    </row>
    <row r="14" spans="1:42" s="241" customFormat="1" ht="12.75" customHeight="1" x14ac:dyDescent="0.2">
      <c r="A14" s="387"/>
      <c r="B14" s="394"/>
      <c r="C14" s="388"/>
      <c r="D14" s="389"/>
      <c r="E14" s="389"/>
      <c r="F14" s="395"/>
      <c r="G14" s="387"/>
      <c r="H14" s="387"/>
      <c r="I14" s="387"/>
      <c r="J14" s="162"/>
      <c r="K14" s="132"/>
      <c r="L14" s="132"/>
      <c r="M14" s="132"/>
      <c r="N14" s="132"/>
      <c r="O14" s="132"/>
      <c r="P14" s="132"/>
      <c r="Q14" s="132"/>
      <c r="R14" s="122"/>
      <c r="S14" s="436"/>
      <c r="T14" s="252"/>
      <c r="U14" s="252"/>
      <c r="V14" s="252"/>
      <c r="W14" s="252"/>
      <c r="X14" s="252"/>
      <c r="Y14" s="442"/>
      <c r="Z14" s="252"/>
      <c r="AA14" s="252"/>
      <c r="AB14" s="252"/>
      <c r="AC14" s="252"/>
      <c r="AD14" s="252"/>
      <c r="AE14" s="252"/>
      <c r="AF14" s="252"/>
      <c r="AG14" s="252"/>
      <c r="AH14" s="252"/>
      <c r="AI14" s="252"/>
      <c r="AJ14" s="252"/>
      <c r="AK14" s="252"/>
      <c r="AL14" s="436"/>
      <c r="AM14" s="436"/>
      <c r="AN14" s="436"/>
      <c r="AO14" s="252"/>
      <c r="AP14" s="252"/>
    </row>
    <row r="15" spans="1:42" s="241" customFormat="1" ht="12.75" customHeight="1" x14ac:dyDescent="0.2">
      <c r="A15" s="387"/>
      <c r="B15" s="396"/>
      <c r="C15" s="397"/>
      <c r="D15" s="398"/>
      <c r="E15" s="398"/>
      <c r="F15" s="399"/>
      <c r="G15" s="387"/>
      <c r="H15" s="387"/>
      <c r="I15" s="387"/>
      <c r="J15" s="162"/>
      <c r="K15" s="132"/>
      <c r="L15" s="132"/>
      <c r="M15" s="132"/>
      <c r="N15" s="132"/>
      <c r="O15" s="132"/>
      <c r="P15" s="132"/>
      <c r="Q15" s="132"/>
      <c r="R15" s="122"/>
      <c r="S15" s="436"/>
      <c r="T15" s="252"/>
      <c r="U15" s="252"/>
      <c r="V15" s="252"/>
      <c r="W15" s="252"/>
      <c r="X15" s="252"/>
      <c r="Y15" s="442"/>
      <c r="Z15" s="252"/>
      <c r="AA15" s="252"/>
      <c r="AB15" s="252"/>
      <c r="AC15" s="252"/>
      <c r="AD15" s="252"/>
      <c r="AE15" s="252"/>
      <c r="AF15" s="252"/>
      <c r="AG15" s="252"/>
      <c r="AH15" s="252"/>
      <c r="AI15" s="252"/>
      <c r="AJ15" s="252"/>
      <c r="AK15" s="252"/>
      <c r="AL15" s="436"/>
      <c r="AM15" s="436"/>
      <c r="AN15" s="436"/>
      <c r="AO15" s="252"/>
      <c r="AP15" s="252"/>
    </row>
    <row r="16" spans="1:42" x14ac:dyDescent="0.2">
      <c r="A16" s="117"/>
      <c r="B16" s="117"/>
      <c r="C16" s="117"/>
      <c r="D16" s="117"/>
      <c r="E16" s="117"/>
      <c r="F16" s="117"/>
      <c r="G16" s="117"/>
      <c r="H16" s="383"/>
      <c r="I16" s="383"/>
      <c r="J16" s="162"/>
      <c r="K16" s="132"/>
      <c r="L16" s="132"/>
      <c r="M16" s="132"/>
      <c r="N16" s="132"/>
      <c r="O16" s="132"/>
      <c r="P16" s="132"/>
      <c r="Q16" s="132"/>
      <c r="R16" s="122"/>
      <c r="T16" s="252"/>
      <c r="U16" s="252"/>
      <c r="V16" s="252">
        <v>1</v>
      </c>
      <c r="W16" s="442">
        <f>W5*0.4+X5*0.2+X7*0.4</f>
        <v>0.5401712404050647</v>
      </c>
      <c r="X16" s="252"/>
      <c r="Y16" s="252"/>
      <c r="Z16" s="252"/>
      <c r="AA16" s="252"/>
      <c r="AB16" s="252"/>
      <c r="AC16" s="252"/>
      <c r="AD16" s="252"/>
      <c r="AE16" s="252"/>
      <c r="AF16" s="252"/>
      <c r="AG16" s="252"/>
      <c r="AH16" s="252"/>
      <c r="AI16" s="252"/>
      <c r="AJ16" s="252"/>
      <c r="AK16" s="252"/>
    </row>
    <row r="17" spans="1:42" x14ac:dyDescent="0.2">
      <c r="A17" s="117"/>
      <c r="B17" s="648" t="s">
        <v>498</v>
      </c>
      <c r="C17" s="648"/>
      <c r="D17" s="648"/>
      <c r="E17" s="648"/>
      <c r="F17" s="648"/>
      <c r="G17" s="117"/>
      <c r="H17" s="383"/>
      <c r="I17" s="383"/>
      <c r="J17" s="162"/>
      <c r="K17" s="132"/>
      <c r="L17" s="132"/>
      <c r="M17" s="132"/>
      <c r="N17" s="132"/>
      <c r="O17" s="132"/>
      <c r="P17" s="132"/>
      <c r="Q17" s="132"/>
      <c r="R17" s="122"/>
      <c r="T17" s="252"/>
      <c r="U17" s="252"/>
      <c r="V17" s="252" t="s">
        <v>1000</v>
      </c>
      <c r="W17" s="437" t="str">
        <f>IF(W16&gt;90%,"A+",IF(AND(W16&lt;=90%,W16&gt;80%),"A",IF(AND(W16&lt;=80%,W16&gt;70%),"B",IF(AND(W16&lt;=70%,W16&gt;60%),"C",IF(AND(W16&lt;=60%,W16&gt;50%),"D",IF(AND(W16&lt;=50%,W16&gt;40%),"E",IF(AND(W16&lt;=40%,W16&gt;30%),"F",IF(AND(W16&lt;=30%,W16&gt;20%),"G",IF(W16&lt;20%,"H","")))))))))</f>
        <v>D</v>
      </c>
      <c r="X17" s="252"/>
      <c r="Y17" s="252"/>
      <c r="Z17" s="252"/>
      <c r="AA17" s="252"/>
      <c r="AB17" s="252"/>
      <c r="AC17" s="252"/>
      <c r="AD17" s="252"/>
      <c r="AE17" s="252"/>
      <c r="AF17" s="252"/>
      <c r="AG17" s="252"/>
      <c r="AH17" s="252"/>
      <c r="AI17" s="252"/>
      <c r="AJ17" s="252"/>
      <c r="AK17" s="252"/>
    </row>
    <row r="18" spans="1:42" x14ac:dyDescent="0.2">
      <c r="A18" s="117"/>
      <c r="B18" s="648"/>
      <c r="C18" s="648"/>
      <c r="D18" s="648"/>
      <c r="E18" s="648"/>
      <c r="F18" s="648"/>
      <c r="G18" s="117"/>
      <c r="H18" s="383"/>
      <c r="I18" s="383"/>
      <c r="J18" s="162"/>
      <c r="K18" s="132"/>
      <c r="L18" s="132"/>
      <c r="M18" s="132"/>
      <c r="N18" s="132"/>
      <c r="O18" s="132"/>
      <c r="P18" s="132"/>
      <c r="Q18" s="132"/>
      <c r="R18" s="122"/>
      <c r="T18" s="252"/>
      <c r="U18" s="252"/>
      <c r="V18" s="252" t="s">
        <v>1028</v>
      </c>
      <c r="W18" s="252">
        <f>IF(W16&lt;20%,W16,120%)</f>
        <v>1.2</v>
      </c>
      <c r="X18" s="252"/>
      <c r="Y18" s="252"/>
      <c r="Z18" s="252"/>
      <c r="AA18" s="252"/>
      <c r="AB18" s="252"/>
      <c r="AC18" s="252"/>
      <c r="AD18" s="252"/>
      <c r="AE18" s="252"/>
      <c r="AF18" s="252"/>
      <c r="AG18" s="252"/>
      <c r="AH18" s="252"/>
      <c r="AI18" s="252"/>
      <c r="AJ18" s="252"/>
      <c r="AK18" s="252"/>
    </row>
    <row r="19" spans="1:42" x14ac:dyDescent="0.2">
      <c r="A19" s="117"/>
      <c r="B19" s="224" t="s">
        <v>559</v>
      </c>
      <c r="C19" s="173" t="s">
        <v>29</v>
      </c>
      <c r="D19" s="225" t="s">
        <v>30</v>
      </c>
      <c r="E19" s="201" t="s">
        <v>32</v>
      </c>
      <c r="F19" s="226" t="s">
        <v>31</v>
      </c>
      <c r="G19" s="117"/>
      <c r="H19" s="383"/>
      <c r="I19" s="383"/>
      <c r="J19" s="162"/>
      <c r="K19" s="132"/>
      <c r="L19" s="132"/>
      <c r="M19" s="132"/>
      <c r="N19" s="132"/>
      <c r="O19" s="132"/>
      <c r="P19" s="132"/>
      <c r="Q19" s="132"/>
      <c r="R19" s="122"/>
      <c r="T19" s="252"/>
      <c r="U19" s="252"/>
      <c r="V19" s="252"/>
      <c r="W19" s="252"/>
      <c r="X19" s="252"/>
      <c r="Y19" s="252"/>
      <c r="Z19" s="252"/>
      <c r="AA19" s="252"/>
      <c r="AB19" s="252"/>
      <c r="AC19" s="252"/>
      <c r="AD19" s="252"/>
      <c r="AE19" s="252"/>
      <c r="AF19" s="252"/>
      <c r="AG19" s="252"/>
      <c r="AH19" s="252"/>
      <c r="AI19" s="252"/>
      <c r="AJ19" s="252"/>
      <c r="AK19" s="252"/>
    </row>
    <row r="20" spans="1:42" x14ac:dyDescent="0.2">
      <c r="A20" s="117"/>
      <c r="B20" s="650" t="s">
        <v>496</v>
      </c>
      <c r="C20" s="650"/>
      <c r="D20" s="650"/>
      <c r="E20" s="650"/>
      <c r="F20" s="650"/>
      <c r="G20" s="117"/>
      <c r="H20" s="403"/>
      <c r="I20" s="383"/>
      <c r="J20" s="162"/>
      <c r="K20" s="132"/>
      <c r="L20" s="132"/>
      <c r="M20" s="132"/>
      <c r="N20" s="132"/>
      <c r="O20" s="132"/>
      <c r="P20" s="132"/>
      <c r="Q20" s="132"/>
      <c r="R20" s="122"/>
      <c r="T20" s="252" t="s">
        <v>7</v>
      </c>
      <c r="U20" s="252"/>
      <c r="V20" s="252"/>
      <c r="W20" s="252"/>
      <c r="X20" s="252"/>
      <c r="Y20" s="252"/>
      <c r="Z20" s="252"/>
      <c r="AA20" s="252"/>
      <c r="AB20" s="252"/>
      <c r="AC20" s="252"/>
      <c r="AD20" s="252"/>
      <c r="AE20" s="252"/>
      <c r="AF20" s="252"/>
      <c r="AG20" s="252"/>
      <c r="AH20" s="252"/>
      <c r="AI20" s="252"/>
      <c r="AJ20" s="252"/>
      <c r="AK20" s="252"/>
    </row>
    <row r="21" spans="1:42" x14ac:dyDescent="0.2">
      <c r="A21" s="117"/>
      <c r="B21" s="243">
        <f>Punkteberechnung!G19</f>
        <v>10.158730158730158</v>
      </c>
      <c r="C21" s="243">
        <f>IF(Eingabe!K28=TRUE,Punkteberechnung!K32,Punkteberechnung!M18)</f>
        <v>22.854382727090744</v>
      </c>
      <c r="D21" s="243">
        <f>Punkteberechnung!X19</f>
        <v>21.3266159130605</v>
      </c>
      <c r="E21" s="243">
        <f>Punkteberechnung!AX19</f>
        <v>29.95</v>
      </c>
      <c r="F21" s="243">
        <f>Punkteberechnung!BN19</f>
        <v>50.823717070886325</v>
      </c>
      <c r="G21" s="117"/>
      <c r="H21" s="383"/>
      <c r="I21" s="383"/>
      <c r="J21" s="366"/>
      <c r="K21" s="177"/>
      <c r="L21" s="177"/>
      <c r="M21" s="177"/>
      <c r="N21" s="177"/>
      <c r="O21" s="177"/>
      <c r="P21" s="177"/>
      <c r="Q21" s="177"/>
      <c r="R21" s="178"/>
      <c r="T21" s="252"/>
      <c r="U21" s="252"/>
      <c r="V21" s="252"/>
      <c r="W21" s="252"/>
      <c r="X21" s="252"/>
      <c r="Y21" s="252"/>
      <c r="Z21" s="252"/>
      <c r="AA21" s="252"/>
      <c r="AB21" s="252"/>
      <c r="AC21" s="252"/>
      <c r="AD21" s="252"/>
      <c r="AE21" s="252"/>
      <c r="AF21" s="252"/>
      <c r="AG21" s="252"/>
      <c r="AH21" s="252"/>
      <c r="AI21" s="252"/>
      <c r="AJ21" s="252"/>
      <c r="AK21" s="252"/>
    </row>
    <row r="22" spans="1:42" x14ac:dyDescent="0.2">
      <c r="A22" s="117"/>
      <c r="B22" s="170" t="s">
        <v>472</v>
      </c>
      <c r="C22" s="170" t="s">
        <v>472</v>
      </c>
      <c r="D22" s="170" t="s">
        <v>472</v>
      </c>
      <c r="E22" s="170" t="s">
        <v>472</v>
      </c>
      <c r="F22" s="170" t="s">
        <v>472</v>
      </c>
      <c r="G22" s="117"/>
      <c r="H22" s="383"/>
      <c r="I22" s="383"/>
      <c r="J22" s="323" t="s">
        <v>548</v>
      </c>
      <c r="K22" s="318"/>
      <c r="L22" s="318"/>
      <c r="M22" s="318"/>
      <c r="N22" s="318"/>
      <c r="O22" s="318"/>
      <c r="P22" s="318"/>
      <c r="Q22" s="318"/>
      <c r="R22" s="319"/>
      <c r="T22" s="252"/>
      <c r="U22" s="252"/>
      <c r="V22" s="252"/>
      <c r="W22" s="252"/>
      <c r="X22" s="252"/>
      <c r="Y22" s="252"/>
      <c r="Z22" s="252"/>
      <c r="AA22" s="252"/>
      <c r="AB22" s="252"/>
      <c r="AC22" s="252"/>
      <c r="AD22" s="252"/>
      <c r="AE22" s="252"/>
      <c r="AF22" s="252"/>
      <c r="AG22" s="252"/>
      <c r="AH22" s="252"/>
      <c r="AI22" s="252"/>
      <c r="AJ22" s="252"/>
      <c r="AK22" s="252"/>
    </row>
    <row r="23" spans="1:42" x14ac:dyDescent="0.2">
      <c r="A23" s="117"/>
      <c r="B23" s="271">
        <v>20</v>
      </c>
      <c r="C23" s="271">
        <v>60</v>
      </c>
      <c r="D23" s="271">
        <f>Punkteberechnung!X20</f>
        <v>90</v>
      </c>
      <c r="E23" s="271">
        <f>Punkteberechnung!AX20</f>
        <v>40</v>
      </c>
      <c r="F23" s="271">
        <f>Punkteberechnung!BN20</f>
        <v>70</v>
      </c>
      <c r="G23" s="117"/>
      <c r="H23" s="383"/>
      <c r="I23" s="383"/>
      <c r="J23" s="358"/>
      <c r="K23" s="321"/>
      <c r="L23" s="321"/>
      <c r="M23" s="321"/>
      <c r="N23" s="321"/>
      <c r="O23" s="321"/>
      <c r="P23" s="321"/>
      <c r="Q23" s="321"/>
      <c r="R23" s="322"/>
      <c r="T23" s="252" t="s">
        <v>53</v>
      </c>
      <c r="U23" s="252" t="s">
        <v>54</v>
      </c>
      <c r="V23" s="252" t="s">
        <v>55</v>
      </c>
      <c r="W23" s="252" t="s">
        <v>56</v>
      </c>
      <c r="X23" s="252" t="s">
        <v>57</v>
      </c>
      <c r="Y23" s="252" t="s">
        <v>104</v>
      </c>
      <c r="Z23" s="252" t="s">
        <v>410</v>
      </c>
      <c r="AA23" s="252" t="s">
        <v>103</v>
      </c>
      <c r="AB23" s="252" t="s">
        <v>412</v>
      </c>
      <c r="AC23" s="252" t="s">
        <v>413</v>
      </c>
      <c r="AD23" s="252" t="s">
        <v>21</v>
      </c>
      <c r="AE23" s="252" t="s">
        <v>477</v>
      </c>
      <c r="AF23" s="252" t="s">
        <v>478</v>
      </c>
      <c r="AG23" s="252" t="s">
        <v>22</v>
      </c>
      <c r="AH23" s="252" t="s">
        <v>437</v>
      </c>
      <c r="AI23" s="252"/>
      <c r="AJ23" s="252"/>
      <c r="AK23" s="252"/>
    </row>
    <row r="24" spans="1:42" x14ac:dyDescent="0.2">
      <c r="A24" s="117"/>
      <c r="B24" s="650" t="s">
        <v>493</v>
      </c>
      <c r="C24" s="650"/>
      <c r="D24" s="650"/>
      <c r="E24" s="650"/>
      <c r="F24" s="650"/>
      <c r="G24" s="117"/>
      <c r="H24" s="383"/>
      <c r="I24" s="383"/>
      <c r="J24" s="256"/>
      <c r="K24" s="316"/>
      <c r="L24" s="316"/>
      <c r="M24" s="316"/>
      <c r="N24" s="316"/>
      <c r="O24" s="316"/>
      <c r="P24" s="316"/>
      <c r="Q24" s="316"/>
      <c r="R24" s="317"/>
      <c r="T24" s="252">
        <f>IF(Punkteberechnung!M17&lt;&gt;0,Punkteberechnung!M17,"")</f>
        <v>3.45</v>
      </c>
      <c r="U24" s="252">
        <f>IF(Punkteberechnung!O17&lt;&gt;0,Punkteberechnung!O17,"")</f>
        <v>1.2</v>
      </c>
      <c r="V24" s="252">
        <f>IF(Punkteberechnung!Q17&lt;&gt;0,Punkteberechnung!Q17,"")</f>
        <v>1.4</v>
      </c>
      <c r="W24" s="252">
        <f>IF(Punkteberechnung!S17&lt;&gt;0,Punkteberechnung!S17,"")</f>
        <v>0.1</v>
      </c>
      <c r="X24" s="252">
        <f>IF(Punkteberechnung!U17&lt;&gt;0,Punkteberechnung!U17,"")</f>
        <v>2.5000000000000001E-2</v>
      </c>
      <c r="Y24" s="252">
        <f>IF(Punkteberechnung!X17&lt;&gt;0,Punkteberechnung!X17,"")</f>
        <v>0.35714285714285715</v>
      </c>
      <c r="Z24" s="252" t="str">
        <f>IF(Punkteberechnung!Z17&lt;&gt;0,Punkteberechnung!Z17,"")</f>
        <v/>
      </c>
      <c r="AA24" s="252">
        <f>IF(Punkteberechnung!AB17&lt;&gt;0,Punkteberechnung!AB17,"")</f>
        <v>2.2400000000000002</v>
      </c>
      <c r="AB24" s="252" t="str">
        <f>IF(Punkteberechnung!AD17&lt;&gt;0,Punkteberechnung!AD17,"")</f>
        <v/>
      </c>
      <c r="AC24" s="252" t="str">
        <f>IF(Punkteberechnung!AF17&lt;&gt;0,Punkteberechnung!AF17,"")</f>
        <v/>
      </c>
      <c r="AD24" s="252">
        <f>IF(Punkteberechnung!AX17&lt;&gt;0,Punkteberechnung!AX17,"")</f>
        <v>0.01</v>
      </c>
      <c r="AE24" s="252">
        <f>IF(Punkteberechnung!AZ17&lt;&gt;0,Punkteberechnung!AZ17,"")</f>
        <v>1</v>
      </c>
      <c r="AF24" s="252">
        <f>IF(Punkteberechnung!BB17&lt;&gt;0,Punkteberechnung!BB17,"")</f>
        <v>1</v>
      </c>
      <c r="AG24" s="252" t="str">
        <f>IF(Punkteberechnung!BD17&lt;&gt;0,Punkteberechnung!BD17,"")</f>
        <v/>
      </c>
      <c r="AH24" s="252" t="str">
        <f>IF(Punkteberechnung!BF17&lt;&gt;0,Punkteberechnung!BF17,"")</f>
        <v/>
      </c>
      <c r="AI24" s="252"/>
      <c r="AJ24" s="252"/>
      <c r="AK24" s="252"/>
    </row>
    <row r="25" spans="1:42" x14ac:dyDescent="0.2">
      <c r="A25" s="170" t="s">
        <v>500</v>
      </c>
      <c r="B25" s="243">
        <f>Punkteberechnung!G45</f>
        <v>8.1587301587301582</v>
      </c>
      <c r="C25" s="243">
        <f>IF(Eingabe!K28=TRUE,Punkteberechnung!K49*60,Punkteberechnung!K47*60)</f>
        <v>16.970751645621057</v>
      </c>
      <c r="D25" s="243">
        <f>Punkteberechnung!W45*Punkteberechnung!X20</f>
        <v>0</v>
      </c>
      <c r="E25" s="243">
        <f>Punkteberechnung!AW45*Punkteberechnung!AX20</f>
        <v>9.5031428571428584</v>
      </c>
      <c r="F25" s="243">
        <f>Punkteberechnung!BN45*Punkteberechnung!BN20</f>
        <v>52.385249771147585</v>
      </c>
      <c r="G25" s="117"/>
      <c r="H25" s="252"/>
      <c r="I25" s="252"/>
      <c r="J25" s="256"/>
      <c r="K25" s="316"/>
      <c r="L25" s="316"/>
      <c r="M25" s="316"/>
      <c r="N25" s="316"/>
      <c r="O25" s="316"/>
      <c r="P25" s="316"/>
      <c r="Q25" s="316"/>
      <c r="R25" s="317"/>
      <c r="T25" s="252">
        <f>Eingabe!E24*24</f>
        <v>7200</v>
      </c>
      <c r="U25" s="252">
        <f>Eingabe!E24*24</f>
        <v>7200</v>
      </c>
      <c r="V25" s="252">
        <f>Eingabe!E24*24</f>
        <v>7200</v>
      </c>
      <c r="W25" s="252">
        <f>Eingabe!E24*24</f>
        <v>7200</v>
      </c>
      <c r="X25" s="252">
        <f>Eingabe!E24*24</f>
        <v>7200</v>
      </c>
      <c r="Y25" s="252">
        <f>Eingabe!E24*24</f>
        <v>7200</v>
      </c>
      <c r="Z25" s="252">
        <f>Eingabe!E24*24</f>
        <v>7200</v>
      </c>
      <c r="AA25" s="252">
        <f>Eingabe!E24*24</f>
        <v>7200</v>
      </c>
      <c r="AB25" s="252">
        <f>Eingabe!E24*24</f>
        <v>7200</v>
      </c>
      <c r="AC25" s="252">
        <f>Eingabe!E24*24</f>
        <v>7200</v>
      </c>
      <c r="AD25" s="252">
        <f>Eingabe!E24*24</f>
        <v>7200</v>
      </c>
      <c r="AE25" s="252">
        <f>Eingabe!E24*24</f>
        <v>7200</v>
      </c>
      <c r="AF25" s="252">
        <f>Eingabe!E24*24</f>
        <v>7200</v>
      </c>
      <c r="AG25" s="252">
        <f>Eingabe!E24*24</f>
        <v>7200</v>
      </c>
      <c r="AH25" s="252">
        <f>Eingabe!E24*24</f>
        <v>7200</v>
      </c>
      <c r="AI25" s="252"/>
      <c r="AJ25" s="252"/>
      <c r="AK25" s="252"/>
    </row>
    <row r="26" spans="1:42" x14ac:dyDescent="0.2">
      <c r="A26" s="170" t="s">
        <v>501</v>
      </c>
      <c r="B26" s="243">
        <f>Punkteberechnung!G46</f>
        <v>12.158730158730158</v>
      </c>
      <c r="C26" s="243">
        <f>IF(Eingabe!K28=TRUE,Punkteberechnung!K50*60,Punkteberechnung!K48*60)</f>
        <v>28.738013808560432</v>
      </c>
      <c r="D26" s="243">
        <f>Punkteberechnung!W46*Punkteberechnung!X20</f>
        <v>51.486139722584305</v>
      </c>
      <c r="E26" s="243">
        <f>Punkteberechnung!AW46*Punkteberechnung!AX20</f>
        <v>40</v>
      </c>
      <c r="F26" s="243">
        <f>Punkteberechnung!BN46*Punkteberechnung!BN20</f>
        <v>55.928851037291736</v>
      </c>
      <c r="G26" s="117"/>
      <c r="H26" s="252"/>
      <c r="I26" s="252"/>
      <c r="J26" s="256"/>
      <c r="K26" s="316"/>
      <c r="L26" s="316"/>
      <c r="M26" s="316"/>
      <c r="N26" s="316"/>
      <c r="O26" s="316"/>
      <c r="P26" s="316"/>
      <c r="Q26" s="316"/>
      <c r="R26" s="317"/>
      <c r="T26" s="252"/>
      <c r="U26" s="252"/>
      <c r="V26" s="252"/>
      <c r="W26" s="252"/>
      <c r="X26" s="252"/>
      <c r="Y26" s="252"/>
      <c r="Z26" s="252"/>
      <c r="AA26" s="252"/>
      <c r="AB26" s="252"/>
      <c r="AC26" s="252"/>
      <c r="AD26" s="252"/>
      <c r="AE26" s="252"/>
      <c r="AF26" s="252"/>
      <c r="AG26" s="252"/>
      <c r="AH26" s="252"/>
      <c r="AI26" s="252"/>
      <c r="AJ26" s="252"/>
      <c r="AK26" s="252"/>
    </row>
    <row r="27" spans="1:42" s="241" customFormat="1" x14ac:dyDescent="0.2">
      <c r="A27" s="117"/>
      <c r="B27" s="286"/>
      <c r="C27" s="251"/>
      <c r="D27" s="251"/>
      <c r="E27" s="251"/>
      <c r="F27" s="287"/>
      <c r="G27" s="117"/>
      <c r="H27" s="252"/>
      <c r="I27" s="252"/>
      <c r="J27" s="256"/>
      <c r="K27" s="316"/>
      <c r="L27" s="316"/>
      <c r="M27" s="316"/>
      <c r="N27" s="316"/>
      <c r="O27" s="316"/>
      <c r="P27" s="316"/>
      <c r="Q27" s="316"/>
      <c r="R27" s="317"/>
      <c r="S27" s="436"/>
      <c r="T27" s="252"/>
      <c r="U27" s="252"/>
      <c r="V27" s="252"/>
      <c r="W27" s="252"/>
      <c r="X27" s="252"/>
      <c r="Y27" s="252"/>
      <c r="Z27" s="252"/>
      <c r="AA27" s="252"/>
      <c r="AB27" s="252"/>
      <c r="AC27" s="252"/>
      <c r="AD27" s="252"/>
      <c r="AE27" s="252"/>
      <c r="AF27" s="252"/>
      <c r="AG27" s="252"/>
      <c r="AH27" s="252"/>
      <c r="AI27" s="252"/>
      <c r="AJ27" s="252"/>
      <c r="AK27" s="252"/>
      <c r="AL27" s="436"/>
      <c r="AM27" s="436"/>
      <c r="AN27" s="436"/>
      <c r="AO27" s="252"/>
      <c r="AP27" s="252"/>
    </row>
    <row r="28" spans="1:42" s="241" customFormat="1" x14ac:dyDescent="0.2">
      <c r="A28" s="117"/>
      <c r="B28" s="650" t="s">
        <v>499</v>
      </c>
      <c r="C28" s="650"/>
      <c r="D28" s="650"/>
      <c r="E28" s="650"/>
      <c r="F28" s="650"/>
      <c r="G28" s="320"/>
      <c r="H28" s="252"/>
      <c r="I28" s="252"/>
      <c r="J28" s="256"/>
      <c r="K28" s="316"/>
      <c r="L28" s="316"/>
      <c r="M28" s="316"/>
      <c r="N28" s="316"/>
      <c r="O28" s="316"/>
      <c r="P28" s="316"/>
      <c r="Q28" s="316"/>
      <c r="R28" s="317"/>
      <c r="S28" s="436"/>
      <c r="T28" s="252"/>
      <c r="U28" s="252"/>
      <c r="V28" s="252"/>
      <c r="W28" s="252"/>
      <c r="X28" s="252"/>
      <c r="Y28" s="252"/>
      <c r="Z28" s="252"/>
      <c r="AA28" s="252"/>
      <c r="AB28" s="252"/>
      <c r="AC28" s="252"/>
      <c r="AD28" s="252"/>
      <c r="AE28" s="252"/>
      <c r="AF28" s="252"/>
      <c r="AG28" s="252"/>
      <c r="AH28" s="252"/>
      <c r="AI28" s="252"/>
      <c r="AJ28" s="252"/>
      <c r="AK28" s="252"/>
      <c r="AL28" s="436"/>
      <c r="AM28" s="436"/>
      <c r="AN28" s="436"/>
      <c r="AO28" s="252"/>
      <c r="AP28" s="252"/>
    </row>
    <row r="29" spans="1:42" s="241" customFormat="1" x14ac:dyDescent="0.2">
      <c r="A29" s="117"/>
      <c r="B29" s="288">
        <f>B21/B23</f>
        <v>0.50793650793650791</v>
      </c>
      <c r="C29" s="222">
        <f>C21/C23</f>
        <v>0.38090637878484573</v>
      </c>
      <c r="D29" s="222">
        <f>D21/D23</f>
        <v>0.23696239903400557</v>
      </c>
      <c r="E29" s="222">
        <f>E21/E23</f>
        <v>0.74875000000000003</v>
      </c>
      <c r="F29" s="242">
        <f>F21/F23</f>
        <v>0.72605310101266174</v>
      </c>
      <c r="G29" s="320"/>
      <c r="H29" s="252"/>
      <c r="I29" s="252"/>
      <c r="J29" s="256"/>
      <c r="K29" s="316"/>
      <c r="L29" s="316"/>
      <c r="M29" s="316"/>
      <c r="N29" s="316"/>
      <c r="O29" s="316"/>
      <c r="P29" s="316"/>
      <c r="Q29" s="316"/>
      <c r="R29" s="317"/>
      <c r="S29" s="436"/>
      <c r="T29" s="252" t="s">
        <v>515</v>
      </c>
      <c r="U29" s="252">
        <f>IF(Eingabe!A13=TRUE,IF(F38=1,E36,E36/(F38-1)),0)</f>
        <v>719.44627777777771</v>
      </c>
      <c r="V29" s="252" t="s">
        <v>446</v>
      </c>
      <c r="W29" s="443">
        <f>Eingabe!P49</f>
        <v>0.32</v>
      </c>
      <c r="X29" s="252" t="s">
        <v>517</v>
      </c>
      <c r="Y29" s="252"/>
      <c r="Z29" s="443">
        <f>IF(Eingabe!A13=TRUE,F43*1000*W30,0)</f>
        <v>1201475.2838888888</v>
      </c>
      <c r="AA29" s="252" t="s">
        <v>519</v>
      </c>
      <c r="AB29" s="252"/>
      <c r="AC29" s="443">
        <f>IF(Eingabe!A13=TRUE,U29*Eingabe!J49*('Ausgabe Standortbewertung'!W29*1.05),0)</f>
        <v>483467.8986666667</v>
      </c>
      <c r="AD29" s="252"/>
      <c r="AE29" s="252"/>
      <c r="AF29" s="252"/>
      <c r="AG29" s="252"/>
      <c r="AH29" s="252"/>
      <c r="AI29" s="252"/>
      <c r="AJ29" s="252"/>
      <c r="AK29" s="252"/>
      <c r="AL29" s="436"/>
      <c r="AM29" s="436"/>
      <c r="AN29" s="436"/>
      <c r="AO29" s="252"/>
      <c r="AP29" s="252"/>
    </row>
    <row r="30" spans="1:42" s="241" customFormat="1" x14ac:dyDescent="0.2">
      <c r="A30" s="117"/>
      <c r="B30" s="650" t="s">
        <v>493</v>
      </c>
      <c r="C30" s="650"/>
      <c r="D30" s="650"/>
      <c r="E30" s="650"/>
      <c r="F30" s="650"/>
      <c r="G30" s="320"/>
      <c r="H30" s="252"/>
      <c r="I30" s="252"/>
      <c r="J30" s="256"/>
      <c r="K30" s="316"/>
      <c r="L30" s="316"/>
      <c r="M30" s="316"/>
      <c r="N30" s="316"/>
      <c r="O30" s="316"/>
      <c r="P30" s="316"/>
      <c r="Q30" s="316"/>
      <c r="R30" s="317"/>
      <c r="S30" s="436"/>
      <c r="T30" s="252" t="s">
        <v>516</v>
      </c>
      <c r="U30" s="252">
        <f>IF(Eingabe!A14=TRUE,IF(F40=1,E37,E37/(F40)),0)</f>
        <v>248.65654761904759</v>
      </c>
      <c r="V30" s="252" t="s">
        <v>449</v>
      </c>
      <c r="W30" s="443">
        <f>Eingabe!R49</f>
        <v>0.16700000000000001</v>
      </c>
      <c r="X30" s="252" t="s">
        <v>518</v>
      </c>
      <c r="Y30" s="252"/>
      <c r="Z30" s="443">
        <f>IF(Eingabe!A14=TRUE,F44*1000/Z31*W29,0)</f>
        <v>278495.33333333331</v>
      </c>
      <c r="AA30" s="252" t="s">
        <v>520</v>
      </c>
      <c r="AB30" s="252"/>
      <c r="AC30" s="443">
        <f>F44*1000/F40*(W29*1.05)</f>
        <v>167097.19999999998</v>
      </c>
      <c r="AD30" s="443">
        <f>F44*1000/Z33*(W29*1.05)</f>
        <v>173543.08605341244</v>
      </c>
      <c r="AE30" s="443">
        <f>IF(Eingabe!A14=TRUE,IF(J32=FALSE,AD30,AC30),0)</f>
        <v>167097.19999999998</v>
      </c>
      <c r="AF30" s="252"/>
      <c r="AG30" s="252"/>
      <c r="AH30" s="252"/>
      <c r="AI30" s="252"/>
      <c r="AJ30" s="252"/>
      <c r="AK30" s="252"/>
      <c r="AL30" s="436"/>
      <c r="AM30" s="436"/>
      <c r="AN30" s="436"/>
      <c r="AO30" s="252"/>
      <c r="AP30" s="252"/>
    </row>
    <row r="31" spans="1:42" s="241" customFormat="1" x14ac:dyDescent="0.2">
      <c r="A31" s="170" t="s">
        <v>500</v>
      </c>
      <c r="B31" s="272">
        <f>Punkteberechnung!G47</f>
        <v>0.40793650793650793</v>
      </c>
      <c r="C31" s="273">
        <f>IF(Eingabe!K28=TRUE,Punkteberechnung!K49,Punkteberechnung!K47)</f>
        <v>0.28284586076035095</v>
      </c>
      <c r="D31" s="272">
        <f>Punkteberechnung!W45</f>
        <v>0</v>
      </c>
      <c r="E31" s="272">
        <f>Punkteberechnung!AW45</f>
        <v>0.23757857142857147</v>
      </c>
      <c r="F31" s="273">
        <f>Punkteberechnung!BN45</f>
        <v>0.74836071101639412</v>
      </c>
      <c r="G31" s="320"/>
      <c r="H31" s="252"/>
      <c r="I31" s="252"/>
      <c r="J31" s="256"/>
      <c r="K31" s="316"/>
      <c r="L31" s="316"/>
      <c r="M31" s="316"/>
      <c r="N31" s="316"/>
      <c r="O31" s="316"/>
      <c r="P31" s="316"/>
      <c r="Q31" s="316"/>
      <c r="R31" s="317"/>
      <c r="S31" s="436"/>
      <c r="T31" s="252"/>
      <c r="U31" s="252"/>
      <c r="V31" s="252"/>
      <c r="W31" s="252"/>
      <c r="X31" s="252" t="s">
        <v>521</v>
      </c>
      <c r="Y31" s="252"/>
      <c r="Z31" s="252">
        <v>4</v>
      </c>
      <c r="AA31" s="252"/>
      <c r="AB31" s="252"/>
      <c r="AC31" s="252" t="s">
        <v>525</v>
      </c>
      <c r="AD31" s="252" t="s">
        <v>526</v>
      </c>
      <c r="AE31" s="252" t="s">
        <v>27</v>
      </c>
      <c r="AF31" s="252"/>
      <c r="AG31" s="252"/>
      <c r="AH31" s="252"/>
      <c r="AI31" s="252"/>
      <c r="AJ31" s="252"/>
      <c r="AK31" s="252"/>
      <c r="AL31" s="436"/>
      <c r="AM31" s="436"/>
      <c r="AN31" s="436"/>
      <c r="AO31" s="252"/>
      <c r="AP31" s="252"/>
    </row>
    <row r="32" spans="1:42" s="241" customFormat="1" x14ac:dyDescent="0.2">
      <c r="A32" s="170" t="s">
        <v>501</v>
      </c>
      <c r="B32" s="272">
        <f>Punkteberechnung!G48</f>
        <v>0.60793650793650789</v>
      </c>
      <c r="C32" s="273">
        <f>IF(Eingabe!K28=TRUE,Punkteberechnung!K50,Punkteberechnung!K48)</f>
        <v>0.47896689680934051</v>
      </c>
      <c r="D32" s="272">
        <f>Punkteberechnung!W46</f>
        <v>0.57206821913982564</v>
      </c>
      <c r="E32" s="272">
        <f>Punkteberechnung!AW46</f>
        <v>1</v>
      </c>
      <c r="F32" s="273">
        <f>Punkteberechnung!BN46</f>
        <v>0.79898358624702481</v>
      </c>
      <c r="G32" s="320"/>
      <c r="H32" s="252"/>
      <c r="I32" s="252"/>
      <c r="J32" s="512" t="b">
        <v>1</v>
      </c>
      <c r="K32" s="316"/>
      <c r="L32" s="316"/>
      <c r="M32" s="316"/>
      <c r="N32" s="316"/>
      <c r="O32" s="316"/>
      <c r="P32" s="316"/>
      <c r="Q32" s="316"/>
      <c r="R32" s="317"/>
      <c r="S32" s="436"/>
      <c r="T32" s="252"/>
      <c r="U32" s="252"/>
      <c r="V32" s="252"/>
      <c r="W32" s="252"/>
      <c r="X32" s="252"/>
      <c r="Y32" s="252"/>
      <c r="Z32" s="444" t="s">
        <v>562</v>
      </c>
      <c r="AA32" s="252"/>
      <c r="AB32" s="252"/>
      <c r="AC32" s="252"/>
      <c r="AD32" s="252"/>
      <c r="AE32" s="252"/>
      <c r="AF32" s="252"/>
      <c r="AG32" s="252"/>
      <c r="AH32" s="252"/>
      <c r="AI32" s="252"/>
      <c r="AJ32" s="252"/>
      <c r="AK32" s="252"/>
      <c r="AL32" s="436"/>
      <c r="AM32" s="436"/>
      <c r="AN32" s="436"/>
      <c r="AO32" s="252"/>
      <c r="AP32" s="252"/>
    </row>
    <row r="33" spans="1:42" s="241" customFormat="1" x14ac:dyDescent="0.2">
      <c r="A33" s="117"/>
      <c r="B33" s="117"/>
      <c r="C33" s="117"/>
      <c r="D33" s="117"/>
      <c r="E33" s="117"/>
      <c r="F33" s="117"/>
      <c r="G33" s="320"/>
      <c r="H33" s="252"/>
      <c r="I33" s="252"/>
      <c r="J33" s="256"/>
      <c r="K33" s="316"/>
      <c r="L33" s="316"/>
      <c r="M33" s="316"/>
      <c r="N33" s="316"/>
      <c r="O33" s="316"/>
      <c r="P33" s="316"/>
      <c r="Q33" s="316"/>
      <c r="R33" s="317"/>
      <c r="S33" s="436"/>
      <c r="T33" s="252"/>
      <c r="U33" s="252"/>
      <c r="V33" s="252"/>
      <c r="W33" s="252"/>
      <c r="X33" s="252" t="s">
        <v>523</v>
      </c>
      <c r="Y33" s="252"/>
      <c r="Z33" s="252">
        <v>6.74</v>
      </c>
      <c r="AA33" s="252" t="s">
        <v>524</v>
      </c>
      <c r="AB33" s="252"/>
      <c r="AC33" s="252"/>
      <c r="AD33" s="252"/>
      <c r="AE33" s="252"/>
      <c r="AF33" s="252"/>
      <c r="AG33" s="252"/>
      <c r="AH33" s="252"/>
      <c r="AI33" s="252"/>
      <c r="AJ33" s="252"/>
      <c r="AK33" s="252"/>
      <c r="AL33" s="436"/>
      <c r="AM33" s="436"/>
      <c r="AN33" s="436"/>
      <c r="AO33" s="252"/>
      <c r="AP33" s="252"/>
    </row>
    <row r="34" spans="1:42" s="241" customFormat="1" x14ac:dyDescent="0.2">
      <c r="A34" s="117"/>
      <c r="B34" s="648" t="s">
        <v>510</v>
      </c>
      <c r="C34" s="648"/>
      <c r="D34" s="648"/>
      <c r="E34" s="648"/>
      <c r="F34" s="648"/>
      <c r="G34" s="320"/>
      <c r="H34" s="320"/>
      <c r="I34" s="320"/>
      <c r="J34" s="355"/>
      <c r="K34" s="316"/>
      <c r="L34" s="316"/>
      <c r="M34" s="316"/>
      <c r="N34" s="316"/>
      <c r="O34" s="316"/>
      <c r="P34" s="316"/>
      <c r="Q34" s="316"/>
      <c r="R34" s="317"/>
      <c r="S34" s="436"/>
      <c r="T34" s="252"/>
      <c r="U34" s="252"/>
      <c r="V34" s="252"/>
      <c r="W34" s="252"/>
      <c r="X34" s="252"/>
      <c r="Y34" s="252"/>
      <c r="Z34" s="252"/>
      <c r="AA34" s="252"/>
      <c r="AB34" s="252"/>
      <c r="AC34" s="252"/>
      <c r="AD34" s="252"/>
      <c r="AE34" s="252"/>
      <c r="AF34" s="252"/>
      <c r="AG34" s="252"/>
      <c r="AH34" s="252"/>
      <c r="AI34" s="252"/>
      <c r="AJ34" s="252"/>
      <c r="AK34" s="252"/>
      <c r="AL34" s="436"/>
      <c r="AM34" s="436"/>
      <c r="AN34" s="436"/>
      <c r="AO34" s="252"/>
      <c r="AP34" s="252"/>
    </row>
    <row r="35" spans="1:42" s="241" customFormat="1" x14ac:dyDescent="0.2">
      <c r="A35" s="117"/>
      <c r="B35" s="648"/>
      <c r="C35" s="648"/>
      <c r="D35" s="648"/>
      <c r="E35" s="648"/>
      <c r="F35" s="648"/>
      <c r="G35" s="320"/>
      <c r="H35" s="320"/>
      <c r="I35" s="320"/>
      <c r="J35" s="355"/>
      <c r="K35" s="316"/>
      <c r="L35" s="316"/>
      <c r="M35" s="316"/>
      <c r="N35" s="316"/>
      <c r="O35" s="316"/>
      <c r="P35" s="316"/>
      <c r="Q35" s="316"/>
      <c r="R35" s="317"/>
      <c r="S35" s="436"/>
      <c r="T35" s="252"/>
      <c r="U35" s="252"/>
      <c r="V35" s="252"/>
      <c r="W35" s="252"/>
      <c r="X35" s="252"/>
      <c r="Y35" s="252"/>
      <c r="Z35" s="252"/>
      <c r="AA35" s="252"/>
      <c r="AB35" s="252"/>
      <c r="AC35" s="252"/>
      <c r="AD35" s="252"/>
      <c r="AE35" s="252"/>
      <c r="AF35" s="252"/>
      <c r="AG35" s="252"/>
      <c r="AH35" s="252"/>
      <c r="AI35" s="252"/>
      <c r="AJ35" s="252"/>
      <c r="AK35" s="252"/>
      <c r="AL35" s="436"/>
      <c r="AM35" s="436"/>
      <c r="AN35" s="436"/>
      <c r="AO35" s="252"/>
      <c r="AP35" s="252"/>
    </row>
    <row r="36" spans="1:42" s="241" customFormat="1" x14ac:dyDescent="0.2">
      <c r="A36" s="117"/>
      <c r="B36" s="662" t="s">
        <v>1059</v>
      </c>
      <c r="C36" s="662"/>
      <c r="D36" s="662"/>
      <c r="E36" s="653">
        <f>IF(Eingabe!A13=TRUE,Eingabe!E24/3600*997*4190*Eingabe!E26/1000,"kein Heinzbetrieb vorgesehen")</f>
        <v>2158.3388333333332</v>
      </c>
      <c r="F36" s="654"/>
      <c r="G36" s="320"/>
      <c r="H36" s="320"/>
      <c r="I36" s="320"/>
      <c r="J36" s="355"/>
      <c r="K36" s="316"/>
      <c r="L36" s="316"/>
      <c r="M36" s="316"/>
      <c r="N36" s="316"/>
      <c r="O36" s="316"/>
      <c r="P36" s="316"/>
      <c r="Q36" s="316"/>
      <c r="R36" s="317"/>
      <c r="S36" s="436"/>
      <c r="T36" s="252"/>
      <c r="U36" s="252"/>
      <c r="V36" s="252"/>
      <c r="W36" s="252"/>
      <c r="X36" s="252"/>
      <c r="Y36" s="252"/>
      <c r="Z36" s="252"/>
      <c r="AA36" s="252"/>
      <c r="AB36" s="252"/>
      <c r="AC36" s="252"/>
      <c r="AD36" s="252"/>
      <c r="AE36" s="252"/>
      <c r="AF36" s="252"/>
      <c r="AG36" s="252"/>
      <c r="AH36" s="252"/>
      <c r="AI36" s="252"/>
      <c r="AJ36" s="252"/>
      <c r="AK36" s="252"/>
      <c r="AL36" s="436"/>
      <c r="AM36" s="436"/>
      <c r="AN36" s="436"/>
      <c r="AO36" s="252"/>
      <c r="AP36" s="252"/>
    </row>
    <row r="37" spans="1:42" s="241" customFormat="1" x14ac:dyDescent="0.2">
      <c r="A37" s="117"/>
      <c r="B37" s="662" t="s">
        <v>1060</v>
      </c>
      <c r="C37" s="662"/>
      <c r="D37" s="662"/>
      <c r="E37" s="653">
        <f>IF(Eingabe!A14=TRUE,Eingabe!E24/3600*997*4190*Eingabe!E27/1000,"kein Kühlbetrieb vorgesehen")</f>
        <v>1740.5958333333331</v>
      </c>
      <c r="F37" s="654"/>
      <c r="G37" s="320"/>
      <c r="H37" s="320"/>
      <c r="I37" s="320"/>
      <c r="J37" s="355"/>
      <c r="K37" s="316"/>
      <c r="L37" s="316"/>
      <c r="M37" s="316"/>
      <c r="N37" s="316"/>
      <c r="O37" s="316"/>
      <c r="P37" s="316"/>
      <c r="Q37" s="316"/>
      <c r="R37" s="317"/>
      <c r="S37" s="436"/>
      <c r="T37" s="252"/>
      <c r="U37" s="252"/>
      <c r="V37" s="252" t="s">
        <v>527</v>
      </c>
      <c r="W37" s="252">
        <f>VLOOKUP(Eingabe!Q49,Punkteberechnung!B40:E44,4,FALSE)</f>
        <v>0.20100000000000001</v>
      </c>
      <c r="X37" s="252" t="s">
        <v>528</v>
      </c>
      <c r="Y37" s="252" t="s">
        <v>529</v>
      </c>
      <c r="Z37" s="252">
        <f>F43*1000*W37</f>
        <v>1446087.0183333333</v>
      </c>
      <c r="AA37" s="252" t="s">
        <v>531</v>
      </c>
      <c r="AB37" s="252"/>
      <c r="AC37" s="252">
        <f>U29*Eingabe!J49*W38</f>
        <v>548146.11903888884</v>
      </c>
      <c r="AD37" s="252"/>
      <c r="AE37" s="252"/>
      <c r="AF37" s="252"/>
      <c r="AG37" s="252"/>
      <c r="AH37" s="252"/>
      <c r="AI37" s="252"/>
      <c r="AJ37" s="252"/>
      <c r="AK37" s="252"/>
      <c r="AL37" s="436"/>
      <c r="AM37" s="436"/>
      <c r="AN37" s="436"/>
      <c r="AO37" s="252"/>
      <c r="AP37" s="252"/>
    </row>
    <row r="38" spans="1:42" s="241" customFormat="1" ht="15.75" x14ac:dyDescent="0.3">
      <c r="A38" s="117"/>
      <c r="B38" s="662" t="s">
        <v>560</v>
      </c>
      <c r="C38" s="662"/>
      <c r="D38" s="662"/>
      <c r="E38" s="662"/>
      <c r="F38" s="510">
        <v>4</v>
      </c>
      <c r="G38" s="406" t="str">
        <f>IF(F38&gt;0,"Wert vorhanden",IF(F38&lt;0,"Wert über 0 eingeben","Wert eingeben"))</f>
        <v>Wert vorhanden</v>
      </c>
      <c r="H38" s="404"/>
      <c r="I38" s="404"/>
      <c r="J38" s="355"/>
      <c r="K38" s="316"/>
      <c r="L38" s="316"/>
      <c r="M38" s="316"/>
      <c r="N38" s="316"/>
      <c r="O38" s="316"/>
      <c r="P38" s="316"/>
      <c r="Q38" s="316"/>
      <c r="R38" s="317"/>
      <c r="S38" s="436"/>
      <c r="T38" s="252"/>
      <c r="U38" s="252"/>
      <c r="V38" s="252" t="s">
        <v>455</v>
      </c>
      <c r="W38" s="252">
        <f>Punkteberechnung!E44</f>
        <v>0.38095000000000001</v>
      </c>
      <c r="X38" s="252" t="s">
        <v>528</v>
      </c>
      <c r="Y38" s="252" t="s">
        <v>530</v>
      </c>
      <c r="Z38" s="252">
        <f>F44*1000/Z31*W38</f>
        <v>331539.99135416659</v>
      </c>
      <c r="AA38" s="252" t="s">
        <v>532</v>
      </c>
      <c r="AB38" s="252"/>
      <c r="AC38" s="252">
        <f>F44*1000/F40*W38</f>
        <v>189451.42363095234</v>
      </c>
      <c r="AD38" s="252">
        <f>F44*1000/Z33*W38</f>
        <v>196759.63878585555</v>
      </c>
      <c r="AE38" s="445">
        <f>IF(J32=TRUE,AC38,AD38)</f>
        <v>189451.42363095234</v>
      </c>
      <c r="AF38" s="252"/>
      <c r="AG38" s="252"/>
      <c r="AH38" s="252"/>
      <c r="AI38" s="252"/>
      <c r="AJ38" s="252"/>
      <c r="AK38" s="252"/>
      <c r="AL38" s="436"/>
      <c r="AM38" s="436"/>
      <c r="AN38" s="436"/>
      <c r="AO38" s="252"/>
      <c r="AP38" s="252"/>
    </row>
    <row r="39" spans="1:42" s="241" customFormat="1" x14ac:dyDescent="0.2">
      <c r="A39" s="117"/>
      <c r="B39" s="650" t="s">
        <v>522</v>
      </c>
      <c r="C39" s="650"/>
      <c r="D39" s="650"/>
      <c r="E39" s="650"/>
      <c r="F39" s="511"/>
      <c r="G39" s="320"/>
      <c r="H39" s="320"/>
      <c r="I39" s="320"/>
      <c r="J39" s="355"/>
      <c r="K39" s="316"/>
      <c r="L39" s="316"/>
      <c r="M39" s="316"/>
      <c r="N39" s="316"/>
      <c r="O39" s="316"/>
      <c r="P39" s="316"/>
      <c r="Q39" s="316"/>
      <c r="R39" s="317"/>
      <c r="S39" s="436"/>
      <c r="T39" s="252"/>
      <c r="U39" s="252"/>
      <c r="V39" s="252"/>
      <c r="W39" s="252"/>
      <c r="X39" s="252"/>
      <c r="Y39" s="252"/>
      <c r="Z39" s="252"/>
      <c r="AA39" s="252"/>
      <c r="AB39" s="252"/>
      <c r="AC39" s="252" t="s">
        <v>525</v>
      </c>
      <c r="AD39" s="252" t="s">
        <v>526</v>
      </c>
      <c r="AE39" s="252" t="s">
        <v>27</v>
      </c>
      <c r="AF39" s="252"/>
      <c r="AG39" s="252"/>
      <c r="AH39" s="252"/>
      <c r="AI39" s="252"/>
      <c r="AJ39" s="252"/>
      <c r="AK39" s="252"/>
      <c r="AL39" s="436"/>
      <c r="AM39" s="436"/>
      <c r="AN39" s="436"/>
      <c r="AO39" s="252"/>
      <c r="AP39" s="252"/>
    </row>
    <row r="40" spans="1:42" s="241" customFormat="1" ht="15.75" x14ac:dyDescent="0.3">
      <c r="A40" s="117"/>
      <c r="B40" s="668" t="s">
        <v>561</v>
      </c>
      <c r="C40" s="668"/>
      <c r="D40" s="668"/>
      <c r="E40" s="668"/>
      <c r="F40" s="510">
        <v>7</v>
      </c>
      <c r="G40" s="407" t="str">
        <f>IF(F40&gt;0,"Wert vorhanden",IF(F40&lt;0,"Wert über 0 eingeben","Wert eingeben"))</f>
        <v>Wert vorhanden</v>
      </c>
      <c r="H40" s="378"/>
      <c r="I40" s="378"/>
      <c r="J40" s="323" t="s">
        <v>549</v>
      </c>
      <c r="K40" s="318"/>
      <c r="L40" s="318"/>
      <c r="M40" s="318"/>
      <c r="N40" s="318"/>
      <c r="O40" s="318"/>
      <c r="P40" s="318"/>
      <c r="Q40" s="318"/>
      <c r="R40" s="319"/>
      <c r="S40" s="436"/>
      <c r="T40" s="252"/>
      <c r="U40" s="252"/>
      <c r="V40" s="252"/>
      <c r="W40" s="252"/>
      <c r="X40" s="252"/>
      <c r="Y40" s="252"/>
      <c r="Z40" s="252"/>
      <c r="AA40" s="252"/>
      <c r="AB40" s="252"/>
      <c r="AC40" s="252"/>
      <c r="AD40" s="252"/>
      <c r="AE40" s="252"/>
      <c r="AF40" s="252"/>
      <c r="AG40" s="252"/>
      <c r="AH40" s="252"/>
      <c r="AI40" s="252"/>
      <c r="AJ40" s="252"/>
      <c r="AK40" s="252"/>
      <c r="AL40" s="436"/>
      <c r="AM40" s="436"/>
      <c r="AN40" s="436"/>
      <c r="AO40" s="252"/>
      <c r="AP40" s="252"/>
    </row>
    <row r="41" spans="1:42" s="241" customFormat="1" x14ac:dyDescent="0.2">
      <c r="A41" s="117"/>
      <c r="B41" s="662" t="s">
        <v>1061</v>
      </c>
      <c r="C41" s="662"/>
      <c r="D41" s="662"/>
      <c r="E41" s="662"/>
      <c r="F41" s="420">
        <f>E36+U29</f>
        <v>2877.7851111111108</v>
      </c>
      <c r="G41" s="320"/>
      <c r="H41" s="320"/>
      <c r="I41" s="320"/>
      <c r="J41" s="405"/>
      <c r="K41" s="405"/>
      <c r="L41" s="405"/>
      <c r="M41" s="405"/>
      <c r="N41" s="405"/>
      <c r="O41" s="405"/>
      <c r="P41" s="405"/>
      <c r="Q41" s="405"/>
      <c r="R41" s="405"/>
      <c r="S41" s="436"/>
      <c r="T41" s="252"/>
      <c r="U41" s="252"/>
      <c r="V41" s="252"/>
      <c r="W41" s="252"/>
      <c r="X41" s="252"/>
      <c r="Y41" s="252"/>
      <c r="Z41" s="252"/>
      <c r="AA41" s="252"/>
      <c r="AB41" s="252"/>
      <c r="AC41" s="252"/>
      <c r="AD41" s="252"/>
      <c r="AE41" s="252"/>
      <c r="AF41" s="252"/>
      <c r="AG41" s="252"/>
      <c r="AH41" s="252"/>
      <c r="AI41" s="252"/>
      <c r="AJ41" s="252"/>
      <c r="AK41" s="252"/>
      <c r="AL41" s="436"/>
      <c r="AM41" s="436"/>
      <c r="AN41" s="436"/>
      <c r="AO41" s="252"/>
      <c r="AP41" s="252"/>
    </row>
    <row r="42" spans="1:42" x14ac:dyDescent="0.2">
      <c r="A42" s="117"/>
      <c r="B42" s="662" t="s">
        <v>1062</v>
      </c>
      <c r="C42" s="662"/>
      <c r="D42" s="662"/>
      <c r="E42" s="662"/>
      <c r="F42" s="420">
        <f>E37</f>
        <v>1740.5958333333331</v>
      </c>
      <c r="G42" s="320"/>
      <c r="H42" s="320"/>
      <c r="I42" s="320"/>
      <c r="J42" s="405"/>
      <c r="K42" s="405"/>
      <c r="L42" s="405"/>
      <c r="M42" s="405"/>
      <c r="N42" s="405"/>
      <c r="O42" s="405"/>
      <c r="P42" s="405"/>
      <c r="Q42" s="405"/>
      <c r="R42" s="405"/>
      <c r="T42" s="252"/>
      <c r="U42" s="252"/>
      <c r="V42" s="252"/>
      <c r="W42" s="252"/>
      <c r="X42" s="252"/>
      <c r="Y42" s="252"/>
      <c r="Z42" s="252"/>
      <c r="AA42" s="252"/>
      <c r="AB42" s="252"/>
      <c r="AC42" s="252"/>
      <c r="AD42" s="252"/>
      <c r="AE42" s="252"/>
      <c r="AF42" s="252"/>
      <c r="AG42" s="252"/>
      <c r="AH42" s="252"/>
      <c r="AI42" s="252"/>
      <c r="AJ42" s="252"/>
      <c r="AK42" s="252"/>
    </row>
    <row r="43" spans="1:42" x14ac:dyDescent="0.2">
      <c r="A43" s="117"/>
      <c r="B43" s="662" t="s">
        <v>511</v>
      </c>
      <c r="C43" s="662"/>
      <c r="D43" s="662"/>
      <c r="E43" s="662"/>
      <c r="F43" s="248">
        <f>IF(Eingabe!A13=TRUE,(F41+U29)*Eingabe!J49/1000,0)</f>
        <v>7194.4627777777769</v>
      </c>
      <c r="G43" s="320"/>
      <c r="H43" s="320"/>
      <c r="I43" s="320"/>
      <c r="J43" s="320"/>
      <c r="K43" s="320"/>
      <c r="L43" s="320"/>
      <c r="M43" s="320"/>
      <c r="N43" s="320"/>
      <c r="O43" s="320"/>
      <c r="P43" s="320"/>
      <c r="Q43" s="320"/>
      <c r="R43" s="320"/>
      <c r="T43" s="252"/>
      <c r="U43" s="252"/>
      <c r="V43" s="252"/>
      <c r="W43" s="252"/>
      <c r="X43" s="252"/>
      <c r="Y43" s="252"/>
      <c r="Z43" s="252"/>
      <c r="AA43" s="252"/>
      <c r="AB43" s="252"/>
      <c r="AC43" s="252"/>
      <c r="AD43" s="252"/>
      <c r="AE43" s="252"/>
      <c r="AF43" s="252"/>
      <c r="AG43" s="252"/>
      <c r="AH43" s="252"/>
      <c r="AI43" s="252"/>
      <c r="AJ43" s="252"/>
      <c r="AK43" s="252"/>
    </row>
    <row r="44" spans="1:42" x14ac:dyDescent="0.2">
      <c r="A44" s="117"/>
      <c r="B44" s="662" t="s">
        <v>1063</v>
      </c>
      <c r="C44" s="662"/>
      <c r="D44" s="662"/>
      <c r="E44" s="662"/>
      <c r="F44" s="248">
        <f>IF(Eingabe!A14=TRUE,(E37)*Eingabe!K49/1000,0)</f>
        <v>3481.1916666666662</v>
      </c>
      <c r="G44" s="320"/>
      <c r="H44" s="320"/>
      <c r="I44" s="320"/>
      <c r="J44" s="320"/>
      <c r="K44" s="320"/>
      <c r="L44" s="320"/>
      <c r="M44" s="320"/>
      <c r="N44" s="320"/>
      <c r="O44" s="320"/>
      <c r="P44" s="320"/>
      <c r="Q44" s="320"/>
      <c r="R44" s="320"/>
    </row>
    <row r="45" spans="1:42" ht="15.75" x14ac:dyDescent="0.3">
      <c r="A45" s="117"/>
      <c r="B45" s="274" t="s">
        <v>512</v>
      </c>
      <c r="C45" s="275"/>
      <c r="D45" s="275"/>
      <c r="E45" s="275"/>
      <c r="F45" s="278" t="str">
        <f>Eingabe!Q49</f>
        <v>Erdgas</v>
      </c>
      <c r="G45" s="320"/>
      <c r="H45" s="320"/>
      <c r="I45" s="320"/>
      <c r="J45" s="320"/>
      <c r="K45" s="320"/>
      <c r="L45" s="320"/>
      <c r="M45" s="320"/>
      <c r="N45" s="320"/>
      <c r="O45" s="320"/>
      <c r="P45" s="320"/>
      <c r="Q45" s="320"/>
      <c r="R45" s="320"/>
    </row>
    <row r="46" spans="1:42" x14ac:dyDescent="0.2">
      <c r="A46" s="117"/>
      <c r="B46" s="662" t="s">
        <v>513</v>
      </c>
      <c r="C46" s="662"/>
      <c r="D46" s="662"/>
      <c r="E46" s="662"/>
      <c r="F46" s="276">
        <f>ROUND((Z30+Z29)-(AC29+AE30),-2)</f>
        <v>829400</v>
      </c>
      <c r="G46" s="320"/>
      <c r="H46" s="320"/>
      <c r="I46" s="320"/>
      <c r="J46" s="320"/>
      <c r="K46" s="320"/>
      <c r="L46" s="320"/>
      <c r="M46" s="320"/>
      <c r="N46" s="320"/>
      <c r="O46" s="320"/>
      <c r="P46" s="320"/>
      <c r="Q46" s="320"/>
      <c r="R46" s="320"/>
    </row>
    <row r="47" spans="1:42" ht="15.75" x14ac:dyDescent="0.3">
      <c r="A47" s="117"/>
      <c r="B47" s="662" t="s">
        <v>558</v>
      </c>
      <c r="C47" s="662"/>
      <c r="D47" s="662"/>
      <c r="E47" s="662"/>
      <c r="F47" s="277">
        <f>ROUND((Z37+Z38)-(AC37+AE38),-2)</f>
        <v>1040000</v>
      </c>
      <c r="G47" s="320"/>
      <c r="H47" s="320"/>
      <c r="I47" s="320"/>
      <c r="J47" s="320"/>
      <c r="K47" s="320"/>
      <c r="L47" s="320"/>
      <c r="M47" s="320"/>
      <c r="N47" s="320"/>
      <c r="O47" s="320"/>
      <c r="P47" s="320"/>
      <c r="Q47" s="320"/>
      <c r="R47" s="320"/>
    </row>
    <row r="48" spans="1:42" x14ac:dyDescent="0.2">
      <c r="A48" s="117"/>
      <c r="B48" s="117"/>
      <c r="C48" s="117"/>
      <c r="D48" s="117"/>
      <c r="E48" s="117"/>
      <c r="F48" s="117"/>
      <c r="G48" s="320"/>
      <c r="H48" s="320"/>
      <c r="I48" s="320"/>
      <c r="J48" s="320"/>
      <c r="K48" s="320"/>
      <c r="L48" s="320"/>
      <c r="M48" s="320"/>
      <c r="N48" s="320"/>
      <c r="O48" s="320"/>
      <c r="P48" s="320"/>
      <c r="Q48" s="320"/>
      <c r="R48" s="320"/>
      <c r="S48" s="638"/>
      <c r="T48" s="638"/>
      <c r="U48" s="638"/>
      <c r="V48" s="638"/>
      <c r="W48" s="638"/>
      <c r="X48" s="638"/>
      <c r="Y48" s="638"/>
      <c r="Z48" s="638"/>
      <c r="AA48" s="638"/>
      <c r="AB48" s="638"/>
      <c r="AC48" s="638"/>
      <c r="AD48" s="638"/>
      <c r="AF48" s="638"/>
      <c r="AG48" s="638"/>
      <c r="AH48" s="638"/>
      <c r="AI48" s="638"/>
      <c r="AJ48" s="638"/>
      <c r="AK48" s="638"/>
      <c r="AL48" s="638"/>
      <c r="AM48" s="638"/>
      <c r="AN48" s="638"/>
      <c r="AO48" s="638"/>
    </row>
    <row r="49" spans="1:42" x14ac:dyDescent="0.2">
      <c r="A49" s="117"/>
      <c r="B49" s="648" t="s">
        <v>1046</v>
      </c>
      <c r="C49" s="648"/>
      <c r="D49" s="648"/>
      <c r="E49" s="648"/>
      <c r="F49" s="648"/>
      <c r="G49" s="320"/>
      <c r="H49" s="641" t="s">
        <v>1011</v>
      </c>
      <c r="I49" s="320"/>
      <c r="J49" s="320"/>
      <c r="K49" s="320"/>
      <c r="L49" s="320"/>
      <c r="M49" s="320"/>
      <c r="N49" s="320"/>
      <c r="O49" s="320"/>
      <c r="P49" s="320"/>
      <c r="Q49" s="320"/>
      <c r="R49" s="320"/>
    </row>
    <row r="50" spans="1:42" x14ac:dyDescent="0.2">
      <c r="A50" s="117"/>
      <c r="B50" s="648"/>
      <c r="C50" s="648"/>
      <c r="D50" s="648"/>
      <c r="E50" s="648"/>
      <c r="F50" s="648"/>
      <c r="G50" s="324"/>
      <c r="H50" s="641"/>
      <c r="I50" s="324"/>
      <c r="J50" s="320"/>
      <c r="K50" s="320"/>
      <c r="L50" s="320"/>
      <c r="M50" s="320"/>
      <c r="N50" s="320"/>
      <c r="O50" s="320"/>
      <c r="P50" s="320"/>
      <c r="Q50" s="320"/>
      <c r="R50" s="320"/>
      <c r="S50" s="638"/>
      <c r="T50" s="638"/>
      <c r="U50" s="638"/>
      <c r="V50" s="638"/>
      <c r="W50" s="638"/>
      <c r="X50" s="638"/>
      <c r="Y50" s="638"/>
      <c r="Z50" s="638"/>
      <c r="AA50" s="638"/>
      <c r="AB50" s="638"/>
    </row>
    <row r="51" spans="1:42" x14ac:dyDescent="0.2">
      <c r="A51" s="117"/>
      <c r="B51" s="649" t="s">
        <v>496</v>
      </c>
      <c r="C51" s="649"/>
      <c r="D51" s="243">
        <f>B21+C21+D21</f>
        <v>54.339728798881403</v>
      </c>
      <c r="E51" s="170" t="s">
        <v>472</v>
      </c>
      <c r="F51" s="271">
        <f>B23+C23+D23</f>
        <v>170</v>
      </c>
      <c r="G51" s="320"/>
      <c r="H51" s="652" t="str">
        <f>Y6</f>
        <v>G</v>
      </c>
      <c r="I51" s="320"/>
      <c r="J51" s="320"/>
      <c r="K51" s="320"/>
      <c r="L51" s="320"/>
      <c r="M51" s="320"/>
      <c r="N51" s="320"/>
      <c r="O51" s="320"/>
      <c r="P51" s="320"/>
      <c r="Q51" s="320"/>
      <c r="R51" s="320"/>
    </row>
    <row r="52" spans="1:42" x14ac:dyDescent="0.2">
      <c r="A52" s="117"/>
      <c r="B52" s="650" t="s">
        <v>497</v>
      </c>
      <c r="C52" s="650"/>
      <c r="D52" s="651">
        <f>D51/F51</f>
        <v>0.3196454635228318</v>
      </c>
      <c r="E52" s="651"/>
      <c r="F52" s="651"/>
      <c r="G52" s="320"/>
      <c r="H52" s="652"/>
      <c r="I52" s="320"/>
      <c r="J52" s="320"/>
      <c r="K52" s="320"/>
      <c r="L52" s="320"/>
      <c r="M52" s="320"/>
      <c r="N52" s="320"/>
      <c r="O52" s="320"/>
      <c r="P52" s="320"/>
      <c r="Q52" s="320"/>
      <c r="R52" s="320"/>
      <c r="T52" s="244"/>
      <c r="U52" s="244"/>
      <c r="V52" s="244"/>
      <c r="W52" s="244"/>
      <c r="X52" s="244"/>
      <c r="Y52" s="244"/>
      <c r="Z52" s="244"/>
      <c r="AA52" s="244"/>
      <c r="AB52" s="244"/>
      <c r="AC52" s="244">
        <f>AC74-AC73</f>
        <v>157.63825866982097</v>
      </c>
      <c r="AD52" s="244"/>
      <c r="AE52" s="244"/>
      <c r="AF52" s="244"/>
      <c r="AG52" s="244"/>
      <c r="AH52" s="244"/>
      <c r="AI52" s="244"/>
      <c r="AJ52" s="244"/>
      <c r="AK52" s="244"/>
      <c r="AL52" s="244"/>
      <c r="AM52" s="244"/>
      <c r="AN52" s="244"/>
    </row>
    <row r="53" spans="1:42" x14ac:dyDescent="0.2">
      <c r="A53" s="117"/>
      <c r="B53" s="670" t="s">
        <v>493</v>
      </c>
      <c r="C53" s="670"/>
      <c r="D53" s="243">
        <f>B25+C25+D25</f>
        <v>25.129481804351215</v>
      </c>
      <c r="E53" s="170" t="s">
        <v>502</v>
      </c>
      <c r="F53" s="271">
        <f>B26+C26+D26</f>
        <v>92.382883689874888</v>
      </c>
      <c r="G53" s="320"/>
      <c r="H53" s="652"/>
      <c r="I53" s="320"/>
      <c r="J53" s="320"/>
      <c r="K53" s="320"/>
      <c r="L53" s="320"/>
      <c r="M53" s="320"/>
      <c r="N53" s="320"/>
      <c r="O53" s="320"/>
      <c r="P53" s="320"/>
      <c r="Q53" s="320"/>
      <c r="R53" s="320"/>
      <c r="T53" s="244"/>
      <c r="U53" s="244"/>
      <c r="V53" s="244"/>
      <c r="W53" s="244"/>
      <c r="X53" s="244"/>
      <c r="Y53" s="418">
        <f>ROUND(B94,-2)/100</f>
        <v>60</v>
      </c>
      <c r="Z53" s="244" t="b">
        <f>ISEVEN((Y53))</f>
        <v>1</v>
      </c>
      <c r="AA53" s="244"/>
      <c r="AB53" s="244"/>
      <c r="AC53" s="244"/>
      <c r="AD53" s="244"/>
      <c r="AE53" s="244"/>
      <c r="AF53" s="244"/>
      <c r="AG53" s="244"/>
      <c r="AH53" s="244"/>
      <c r="AI53" s="244"/>
      <c r="AJ53" s="244"/>
      <c r="AK53" s="244"/>
      <c r="AL53" s="244"/>
      <c r="AM53" s="244"/>
      <c r="AN53" s="244"/>
    </row>
    <row r="54" spans="1:42" x14ac:dyDescent="0.2">
      <c r="A54" s="117"/>
      <c r="B54" s="670"/>
      <c r="C54" s="670"/>
      <c r="D54" s="242">
        <f>D53/F51</f>
        <v>0.14782048120206598</v>
      </c>
      <c r="E54" s="170" t="s">
        <v>502</v>
      </c>
      <c r="F54" s="242">
        <f>F53/F51</f>
        <v>0.54342872758749938</v>
      </c>
      <c r="G54" s="320"/>
      <c r="H54" s="320"/>
      <c r="I54" s="320"/>
      <c r="J54" s="320"/>
      <c r="K54" s="320"/>
      <c r="L54" s="320"/>
      <c r="M54" s="320"/>
      <c r="N54" s="320"/>
      <c r="O54" s="320"/>
      <c r="P54" s="320"/>
      <c r="Q54" s="320"/>
      <c r="R54" s="320"/>
      <c r="T54" s="244"/>
      <c r="U54" s="244"/>
      <c r="V54" s="244"/>
      <c r="W54" s="244"/>
      <c r="X54" s="244"/>
      <c r="Y54" s="244"/>
      <c r="Z54" s="244"/>
      <c r="AA54" s="244"/>
      <c r="AB54" s="244"/>
      <c r="AC54" s="244"/>
      <c r="AD54" s="244"/>
      <c r="AE54" s="244"/>
      <c r="AF54" s="244"/>
      <c r="AG54" s="244"/>
      <c r="AH54" s="244"/>
      <c r="AI54" s="244"/>
      <c r="AJ54" s="244"/>
      <c r="AK54" s="244"/>
      <c r="AL54" s="244"/>
      <c r="AM54" s="244"/>
      <c r="AN54" s="244"/>
    </row>
    <row r="55" spans="1:42" s="241" customFormat="1" x14ac:dyDescent="0.2">
      <c r="A55" s="117"/>
      <c r="B55" s="664" t="s">
        <v>474</v>
      </c>
      <c r="C55" s="665"/>
      <c r="D55" s="666"/>
      <c r="E55" s="667" t="str">
        <f>IF('Berechnung-WÜ-Material'!G22&gt;'Berechnung-WÜ-Material'!G23,"Biofouling",IF('Berechnung-WÜ-Material'!G23&gt;'Berechnung-WÜ-Material'!G22,"Kristallisations- und Partikelfouling",IF('Berechnung-WÜ-Material'!G22='Berechnung-WÜ-Material'!G23,"keine dominierende Foulingart","")))</f>
        <v>Biofouling</v>
      </c>
      <c r="F55" s="667"/>
      <c r="G55" s="320"/>
      <c r="H55" s="320"/>
      <c r="I55" s="320"/>
      <c r="J55" s="252"/>
      <c r="K55" s="252"/>
      <c r="L55" s="252"/>
      <c r="M55" s="252"/>
      <c r="N55" s="252"/>
      <c r="O55" s="320"/>
      <c r="P55" s="320"/>
      <c r="Q55" s="320"/>
      <c r="R55" s="320"/>
      <c r="S55" s="436"/>
      <c r="T55" s="244"/>
      <c r="U55" s="244"/>
      <c r="V55" s="244"/>
      <c r="W55" s="244"/>
      <c r="X55" s="244"/>
      <c r="Y55" s="244"/>
      <c r="Z55" s="244"/>
      <c r="AA55" s="244"/>
      <c r="AB55" s="244"/>
      <c r="AC55" s="244"/>
      <c r="AD55" s="244"/>
      <c r="AE55" s="244"/>
      <c r="AF55" s="244"/>
      <c r="AG55" s="244"/>
      <c r="AH55" s="244"/>
      <c r="AI55" s="244"/>
      <c r="AJ55" s="244"/>
      <c r="AK55" s="244"/>
      <c r="AL55" s="244"/>
      <c r="AM55" s="244"/>
      <c r="AN55" s="244"/>
      <c r="AO55" s="252"/>
      <c r="AP55" s="435"/>
    </row>
    <row r="56" spans="1:42" s="241" customFormat="1" x14ac:dyDescent="0.2">
      <c r="A56" s="117"/>
      <c r="B56" s="664" t="s">
        <v>475</v>
      </c>
      <c r="C56" s="665"/>
      <c r="D56" s="666"/>
      <c r="E56" s="667" t="str">
        <f>Bakterien!B16</f>
        <v>Psychrophile und Psychotolerante</v>
      </c>
      <c r="F56" s="667"/>
      <c r="G56" s="320"/>
      <c r="H56" s="320"/>
      <c r="I56" s="320"/>
      <c r="J56" s="252"/>
      <c r="K56" s="252"/>
      <c r="L56" s="252"/>
      <c r="M56" s="252"/>
      <c r="N56" s="252"/>
      <c r="O56" s="252"/>
      <c r="P56" s="252"/>
      <c r="Q56" s="252"/>
      <c r="R56" s="252"/>
      <c r="S56" s="436"/>
      <c r="T56" s="244"/>
      <c r="U56" s="244"/>
      <c r="V56" s="244"/>
      <c r="W56" s="244"/>
      <c r="X56" s="244"/>
      <c r="Y56" s="244">
        <f>Eingabe!J49</f>
        <v>2000</v>
      </c>
      <c r="Z56" s="244">
        <f>Eingabe!K49</f>
        <v>2000</v>
      </c>
      <c r="AA56" s="244"/>
      <c r="AB56" s="244"/>
      <c r="AC56" s="244"/>
      <c r="AD56" s="244"/>
      <c r="AE56" s="244"/>
      <c r="AF56" s="244"/>
      <c r="AG56" s="244"/>
      <c r="AH56" s="244"/>
      <c r="AI56" s="244"/>
      <c r="AJ56" s="244"/>
      <c r="AK56" s="244"/>
      <c r="AL56" s="244"/>
      <c r="AM56" s="244"/>
      <c r="AN56" s="244"/>
      <c r="AO56" s="252"/>
      <c r="AP56" s="435"/>
    </row>
    <row r="57" spans="1:42" s="241" customFormat="1" x14ac:dyDescent="0.2">
      <c r="A57" s="387"/>
      <c r="B57" s="648" t="s">
        <v>1025</v>
      </c>
      <c r="C57" s="648"/>
      <c r="D57" s="648"/>
      <c r="E57" s="648"/>
      <c r="F57" s="648"/>
      <c r="G57" s="320"/>
      <c r="H57" s="320"/>
      <c r="I57" s="320"/>
      <c r="J57" s="252"/>
      <c r="K57" s="252"/>
      <c r="L57" s="252"/>
      <c r="M57" s="252"/>
      <c r="N57" s="252"/>
      <c r="O57" s="252"/>
      <c r="P57" s="252"/>
      <c r="Q57" s="252"/>
      <c r="R57" s="252"/>
      <c r="S57" s="436"/>
      <c r="T57" s="244"/>
      <c r="U57" s="244"/>
      <c r="V57" s="244"/>
      <c r="W57" s="637" t="s">
        <v>1041</v>
      </c>
      <c r="X57" s="637"/>
      <c r="Y57" s="244">
        <f>Y56/(Y56+Z56)</f>
        <v>0.5</v>
      </c>
      <c r="Z57" s="244">
        <f>Z56/(Y56+Z56)</f>
        <v>0.5</v>
      </c>
      <c r="AA57" s="244"/>
      <c r="AB57" s="244"/>
      <c r="AC57" s="244"/>
      <c r="AD57" s="244"/>
      <c r="AE57" s="244"/>
      <c r="AF57" s="244"/>
      <c r="AG57" s="244"/>
      <c r="AH57" s="244"/>
      <c r="AI57" s="244"/>
      <c r="AJ57" s="244"/>
      <c r="AK57" s="244"/>
      <c r="AL57" s="244"/>
      <c r="AM57" s="244"/>
      <c r="AN57" s="244"/>
      <c r="AO57" s="252"/>
      <c r="AP57" s="435"/>
    </row>
    <row r="58" spans="1:42" s="241" customFormat="1" x14ac:dyDescent="0.2">
      <c r="A58" s="387"/>
      <c r="B58" s="648"/>
      <c r="C58" s="648"/>
      <c r="D58" s="648"/>
      <c r="E58" s="648"/>
      <c r="F58" s="648"/>
      <c r="G58" s="320"/>
      <c r="H58" s="320"/>
      <c r="I58" s="320"/>
      <c r="J58" s="252"/>
      <c r="K58" s="252"/>
      <c r="L58" s="252"/>
      <c r="M58" s="252"/>
      <c r="N58" s="252"/>
      <c r="O58" s="252"/>
      <c r="P58" s="252"/>
      <c r="Q58" s="252"/>
      <c r="R58" s="378"/>
      <c r="S58" s="436"/>
      <c r="T58" s="244"/>
      <c r="U58" s="244"/>
      <c r="V58" s="244"/>
      <c r="W58" s="244"/>
      <c r="X58" s="244"/>
      <c r="Y58" s="418">
        <f>IF(Z53=TRUE,Y53*100,((Y53-1)*100))</f>
        <v>6000</v>
      </c>
      <c r="Z58" s="244"/>
      <c r="AA58" s="244"/>
      <c r="AB58" s="244"/>
      <c r="AC58" s="244"/>
      <c r="AD58" s="244"/>
      <c r="AE58" s="244"/>
      <c r="AF58" s="244"/>
      <c r="AG58" s="244"/>
      <c r="AH58" s="244"/>
      <c r="AI58" s="244"/>
      <c r="AJ58" s="244"/>
      <c r="AK58" s="244"/>
      <c r="AL58" s="244"/>
      <c r="AM58" s="244"/>
      <c r="AN58" s="244"/>
      <c r="AO58" s="252"/>
      <c r="AP58" s="435"/>
    </row>
    <row r="59" spans="1:42" s="241" customFormat="1" x14ac:dyDescent="0.2">
      <c r="A59" s="387"/>
      <c r="B59" s="390"/>
      <c r="C59" s="391"/>
      <c r="D59" s="391"/>
      <c r="E59" s="391"/>
      <c r="F59" s="400"/>
      <c r="G59" s="320"/>
      <c r="H59" s="320"/>
      <c r="I59" s="320"/>
      <c r="J59" s="252"/>
      <c r="K59" s="252"/>
      <c r="L59" s="252"/>
      <c r="M59" s="252"/>
      <c r="N59" s="252"/>
      <c r="O59" s="252"/>
      <c r="P59" s="252"/>
      <c r="Q59" s="252"/>
      <c r="R59" s="378"/>
      <c r="S59" s="436"/>
      <c r="T59" s="244"/>
      <c r="U59" s="244"/>
      <c r="V59" s="244"/>
      <c r="W59" s="244" t="s">
        <v>1039</v>
      </c>
      <c r="X59" s="244"/>
      <c r="Y59" s="244">
        <f>Eingabe!J49/('Ausgabe Standortbewertung'!Y58*'Ausgabe Standortbewertung'!Y57)</f>
        <v>0.66666666666666663</v>
      </c>
      <c r="Z59" s="244" t="s">
        <v>1040</v>
      </c>
      <c r="AA59" s="244"/>
      <c r="AB59" s="244">
        <f>Eingabe!K49/('Ausgabe Standortbewertung'!Y58*'Ausgabe Standortbewertung'!Z57)</f>
        <v>0.66666666666666663</v>
      </c>
      <c r="AC59" s="244"/>
      <c r="AD59" s="244"/>
      <c r="AE59" s="244"/>
      <c r="AF59" s="244"/>
      <c r="AG59" s="244"/>
      <c r="AH59" s="244"/>
      <c r="AI59" s="244"/>
      <c r="AJ59" s="244"/>
      <c r="AK59" s="244"/>
      <c r="AL59" s="244"/>
      <c r="AM59" s="244"/>
      <c r="AN59" s="244"/>
      <c r="AO59" s="252"/>
      <c r="AP59" s="435"/>
    </row>
    <row r="60" spans="1:42" s="241" customFormat="1" x14ac:dyDescent="0.2">
      <c r="A60" s="387"/>
      <c r="B60" s="394"/>
      <c r="C60" s="388"/>
      <c r="D60" s="388"/>
      <c r="E60" s="388"/>
      <c r="F60" s="401"/>
      <c r="G60" s="320"/>
      <c r="H60" s="320"/>
      <c r="I60" s="320"/>
      <c r="J60" s="430">
        <v>0.97</v>
      </c>
      <c r="K60" s="252"/>
      <c r="L60" s="252"/>
      <c r="M60" s="252"/>
      <c r="N60" s="252"/>
      <c r="O60" s="252"/>
      <c r="P60" s="252"/>
      <c r="Q60" s="252"/>
      <c r="R60" s="378"/>
      <c r="S60" s="436"/>
      <c r="T60" s="244"/>
      <c r="U60" s="244"/>
      <c r="V60" s="244"/>
      <c r="W60" s="244"/>
      <c r="X60" s="244"/>
      <c r="Y60" s="244"/>
      <c r="Z60" s="244"/>
      <c r="AA60" s="244"/>
      <c r="AB60" s="244"/>
      <c r="AC60" s="244"/>
      <c r="AD60" s="244"/>
      <c r="AE60" s="244"/>
      <c r="AF60" s="244"/>
      <c r="AG60" s="244"/>
      <c r="AH60" s="244"/>
      <c r="AI60" s="244"/>
      <c r="AJ60" s="244"/>
      <c r="AK60" s="244"/>
      <c r="AL60" s="244"/>
      <c r="AM60" s="244"/>
      <c r="AN60" s="244"/>
      <c r="AO60" s="252"/>
      <c r="AP60" s="435"/>
    </row>
    <row r="61" spans="1:42" s="241" customFormat="1" x14ac:dyDescent="0.2">
      <c r="A61" s="387"/>
      <c r="B61" s="394"/>
      <c r="C61" s="388"/>
      <c r="D61" s="388"/>
      <c r="E61" s="388"/>
      <c r="F61" s="401"/>
      <c r="G61" s="320"/>
      <c r="H61" s="320"/>
      <c r="I61" s="320"/>
      <c r="J61" s="378"/>
      <c r="K61" s="378"/>
      <c r="L61" s="378"/>
      <c r="M61" s="378"/>
      <c r="N61" s="378"/>
      <c r="O61" s="378"/>
      <c r="P61" s="378"/>
      <c r="Q61" s="378"/>
      <c r="R61" s="378"/>
      <c r="S61" s="436"/>
      <c r="T61" s="244"/>
      <c r="U61" s="244"/>
      <c r="V61" s="244"/>
      <c r="W61" s="244"/>
      <c r="X61" s="637" t="s">
        <v>145</v>
      </c>
      <c r="Y61" s="637"/>
      <c r="Z61" s="637"/>
      <c r="AA61" s="637"/>
      <c r="AB61" s="637"/>
      <c r="AC61" s="637"/>
      <c r="AD61" s="637"/>
      <c r="AE61" s="637"/>
      <c r="AF61" s="637" t="s">
        <v>146</v>
      </c>
      <c r="AG61" s="637"/>
      <c r="AH61" s="637"/>
      <c r="AI61" s="637"/>
      <c r="AJ61" s="637"/>
      <c r="AK61" s="637"/>
      <c r="AL61" s="637"/>
      <c r="AM61" s="637"/>
      <c r="AN61" s="244"/>
      <c r="AO61" s="252"/>
      <c r="AP61" s="435"/>
    </row>
    <row r="62" spans="1:42" s="241" customFormat="1" x14ac:dyDescent="0.2">
      <c r="A62" s="387"/>
      <c r="B62" s="394"/>
      <c r="C62" s="388"/>
      <c r="D62" s="388"/>
      <c r="E62" s="388"/>
      <c r="F62" s="401"/>
      <c r="G62" s="320"/>
      <c r="H62" s="320"/>
      <c r="I62" s="320"/>
      <c r="J62" s="252"/>
      <c r="K62" s="252"/>
      <c r="L62" s="252"/>
      <c r="M62" s="252"/>
      <c r="N62" s="252"/>
      <c r="O62" s="252"/>
      <c r="P62" s="378"/>
      <c r="Q62" s="378"/>
      <c r="R62" s="378"/>
      <c r="S62" s="436"/>
      <c r="T62" s="244"/>
      <c r="U62" s="244"/>
      <c r="V62" s="244"/>
      <c r="W62" s="244"/>
      <c r="X62" s="637" t="s">
        <v>1034</v>
      </c>
      <c r="Y62" s="637"/>
      <c r="Z62" s="637"/>
      <c r="AA62" s="637" t="s">
        <v>1035</v>
      </c>
      <c r="AB62" s="637"/>
      <c r="AC62" s="637"/>
      <c r="AD62" s="244" t="s">
        <v>1036</v>
      </c>
      <c r="AE62" s="244"/>
      <c r="AF62" s="637" t="s">
        <v>1034</v>
      </c>
      <c r="AG62" s="637"/>
      <c r="AH62" s="637"/>
      <c r="AI62" s="637" t="s">
        <v>1035</v>
      </c>
      <c r="AJ62" s="637"/>
      <c r="AK62" s="637"/>
      <c r="AL62" s="244" t="s">
        <v>1036</v>
      </c>
      <c r="AM62" s="244"/>
      <c r="AN62" s="244"/>
      <c r="AO62" s="252"/>
      <c r="AP62" s="435"/>
    </row>
    <row r="63" spans="1:42" s="241" customFormat="1" x14ac:dyDescent="0.2">
      <c r="A63" s="387"/>
      <c r="B63" s="394"/>
      <c r="C63" s="388"/>
      <c r="D63" s="388"/>
      <c r="E63" s="388"/>
      <c r="F63" s="401"/>
      <c r="G63" s="320"/>
      <c r="H63" s="320"/>
      <c r="I63" s="320"/>
      <c r="J63" s="252"/>
      <c r="K63" s="252"/>
      <c r="L63" s="252"/>
      <c r="M63" s="252"/>
      <c r="N63" s="252"/>
      <c r="O63" s="252"/>
      <c r="P63" s="378"/>
      <c r="Q63" s="378"/>
      <c r="R63" s="378"/>
      <c r="S63" s="436"/>
      <c r="T63" s="244"/>
      <c r="U63" s="244" t="s">
        <v>506</v>
      </c>
      <c r="V63" s="244" t="s">
        <v>504</v>
      </c>
      <c r="W63" s="244" t="s">
        <v>505</v>
      </c>
      <c r="X63" s="244" t="s">
        <v>506</v>
      </c>
      <c r="Y63" s="244" t="s">
        <v>504</v>
      </c>
      <c r="Z63" s="244" t="s">
        <v>505</v>
      </c>
      <c r="AA63" s="244" t="s">
        <v>506</v>
      </c>
      <c r="AB63" s="244" t="s">
        <v>504</v>
      </c>
      <c r="AC63" s="244" t="s">
        <v>505</v>
      </c>
      <c r="AD63" s="244"/>
      <c r="AE63" s="244"/>
      <c r="AF63" s="244" t="s">
        <v>506</v>
      </c>
      <c r="AG63" s="244" t="s">
        <v>504</v>
      </c>
      <c r="AH63" s="244" t="s">
        <v>505</v>
      </c>
      <c r="AI63" s="244" t="s">
        <v>506</v>
      </c>
      <c r="AJ63" s="244" t="s">
        <v>504</v>
      </c>
      <c r="AK63" s="244" t="s">
        <v>505</v>
      </c>
      <c r="AL63" s="244"/>
      <c r="AM63" s="244"/>
      <c r="AN63" s="244"/>
      <c r="AO63" s="252"/>
      <c r="AP63" s="435"/>
    </row>
    <row r="64" spans="1:42" s="241" customFormat="1" x14ac:dyDescent="0.2">
      <c r="A64" s="387"/>
      <c r="B64" s="396"/>
      <c r="C64" s="397"/>
      <c r="D64" s="397"/>
      <c r="E64" s="397"/>
      <c r="F64" s="402"/>
      <c r="G64" s="320"/>
      <c r="H64" s="320"/>
      <c r="I64" s="320"/>
      <c r="J64" s="252"/>
      <c r="K64" s="252"/>
      <c r="L64" s="252"/>
      <c r="M64" s="252"/>
      <c r="N64" s="252"/>
      <c r="O64" s="252"/>
      <c r="P64" s="378"/>
      <c r="Q64" s="378"/>
      <c r="R64" s="378"/>
      <c r="S64" s="436"/>
      <c r="T64" s="244">
        <v>0</v>
      </c>
      <c r="U64" s="244">
        <f>100*EXP($L$80*$T64)</f>
        <v>100</v>
      </c>
      <c r="V64" s="244">
        <f>100*EXP($M$80*$T64)</f>
        <v>100</v>
      </c>
      <c r="W64" s="244">
        <f>100*EXP($N$80*$T64)</f>
        <v>100</v>
      </c>
      <c r="X64" s="244">
        <f t="shared" ref="X64:X95" si="0">U64*($E$36+$U$29)/100</f>
        <v>2877.7851111111108</v>
      </c>
      <c r="Y64" s="244">
        <f t="shared" ref="Y64:Y95" si="1">V64*($E$36+$U$29)/100</f>
        <v>2877.7851111111108</v>
      </c>
      <c r="Z64" s="244">
        <f t="shared" ref="Z64:Z95" si="2">W64*($E$36+$U$29)/100</f>
        <v>2877.7851111111108</v>
      </c>
      <c r="AA64" s="244">
        <f>X64*100/1000*$Y$59</f>
        <v>191.85234074074071</v>
      </c>
      <c r="AB64" s="244">
        <f t="shared" ref="AB64" si="3">Y64*100/1000*$Y$59</f>
        <v>191.85234074074071</v>
      </c>
      <c r="AC64" s="244">
        <f>Z64*100/1000*$Y$59</f>
        <v>191.85234074074071</v>
      </c>
      <c r="AD64" s="446">
        <f t="shared" ref="AD64:AD95" si="4">($E$36+$U$29)</f>
        <v>2877.7851111111108</v>
      </c>
      <c r="AE64" s="244">
        <f>AD64*100/1000*$Y$59</f>
        <v>191.85234074074071</v>
      </c>
      <c r="AF64" s="244">
        <f t="shared" ref="AF64:AF95" si="5">U64*($E$37)/100</f>
        <v>1740.5958333333331</v>
      </c>
      <c r="AG64" s="244">
        <f t="shared" ref="AG64:AG95" si="6">V64*($E$37)/100</f>
        <v>1740.5958333333331</v>
      </c>
      <c r="AH64" s="244">
        <f t="shared" ref="AH64:AH95" si="7">W64*($E$37)/100</f>
        <v>1740.5958333333331</v>
      </c>
      <c r="AI64" s="244">
        <f>AF64*100/1000*$AB$59</f>
        <v>116.0397222222222</v>
      </c>
      <c r="AJ64" s="244">
        <f>AG64*100/1000*$AB$59</f>
        <v>116.0397222222222</v>
      </c>
      <c r="AK64" s="244">
        <f>AH64*100/1000*$Y$59</f>
        <v>116.0397222222222</v>
      </c>
      <c r="AL64" s="447">
        <f t="shared" ref="AL64:AL95" si="8">$E$37</f>
        <v>1740.5958333333331</v>
      </c>
      <c r="AM64" s="244">
        <f>AL64*100/1000*$AB$59</f>
        <v>116.0397222222222</v>
      </c>
      <c r="AN64" s="244"/>
      <c r="AO64" s="252"/>
      <c r="AP64" s="252"/>
    </row>
    <row r="65" spans="1:42" s="241" customFormat="1" x14ac:dyDescent="0.2">
      <c r="A65" s="117"/>
      <c r="B65" s="289"/>
      <c r="C65" s="289"/>
      <c r="D65" s="290"/>
      <c r="E65" s="132"/>
      <c r="F65" s="290"/>
      <c r="G65" s="320"/>
      <c r="H65" s="320"/>
      <c r="I65" s="252"/>
      <c r="J65" s="252"/>
      <c r="K65" s="252"/>
      <c r="L65" s="252"/>
      <c r="M65" s="252"/>
      <c r="N65" s="252"/>
      <c r="O65" s="252"/>
      <c r="P65" s="378"/>
      <c r="Q65" s="378"/>
      <c r="R65" s="378"/>
      <c r="S65" s="436"/>
      <c r="T65" s="244">
        <v>100</v>
      </c>
      <c r="U65" s="244">
        <f t="shared" ref="U65:U128" si="9">100*EXP($L$80*$T65)</f>
        <v>99.580306560260738</v>
      </c>
      <c r="V65" s="244">
        <f t="shared" ref="V65:V128" si="10">100*EXP($M$80*$T65)</f>
        <v>98.780507297700453</v>
      </c>
      <c r="W65" s="244">
        <f t="shared" ref="W65:W128" si="11">100*EXP($N$80*$T65)</f>
        <v>98.054934215554397</v>
      </c>
      <c r="X65" s="244">
        <f t="shared" si="0"/>
        <v>2865.7072357899842</v>
      </c>
      <c r="Y65" s="244">
        <f t="shared" si="1"/>
        <v>2842.6907316932479</v>
      </c>
      <c r="Z65" s="244">
        <f t="shared" si="2"/>
        <v>2821.810297565019</v>
      </c>
      <c r="AA65" s="244">
        <f>IF(T65&lt;$Y$58*$Y$57,AA64+X65*100/1000*$Y$59,AA64)</f>
        <v>382.8994897934063</v>
      </c>
      <c r="AB65" s="244">
        <f>IF(T65&lt;$Y$58*$Y$57,AB64+Y65*100/1000*$Y$59,AB64)</f>
        <v>381.36505618695719</v>
      </c>
      <c r="AC65" s="244">
        <f>IF(T65&lt;$Y$58*$Y$57,AC64+Z65*100/1000*$Y$59,AC64)</f>
        <v>379.97302724507529</v>
      </c>
      <c r="AD65" s="446">
        <f t="shared" si="4"/>
        <v>2877.7851111111108</v>
      </c>
      <c r="AE65" s="244">
        <f>IF(T65&lt;$Y$58*$Y$57,AE64+AD65*100/1000*$Y$59,AE64)</f>
        <v>383.70468148148143</v>
      </c>
      <c r="AF65" s="244">
        <f t="shared" si="5"/>
        <v>1733.2906668084581</v>
      </c>
      <c r="AG65" s="244">
        <f t="shared" si="6"/>
        <v>1719.3693941693032</v>
      </c>
      <c r="AH65" s="244">
        <f t="shared" si="7"/>
        <v>1706.7400993336807</v>
      </c>
      <c r="AI65" s="244">
        <f>IF(T65&lt;$Y$58*$Z$57,AI64+AF65*100/1000*$AB$59,AI64)</f>
        <v>231.59243334278608</v>
      </c>
      <c r="AJ65" s="244">
        <f>IF(T65&lt;$Y$58*$Z$57,AJ64+AG65*100/1000*$AB$59,AJ64)</f>
        <v>230.66434850017572</v>
      </c>
      <c r="AK65" s="244">
        <f>IF(T65&lt;$Y$58*$Z$57,AK64+AH65*100/1000*$AB$59,AK64)</f>
        <v>229.82239551113423</v>
      </c>
      <c r="AL65" s="447">
        <f t="shared" si="8"/>
        <v>1740.5958333333331</v>
      </c>
      <c r="AM65" s="244">
        <f t="shared" ref="AM65:AM83" si="12">IF(T65&lt;$Y$58*$Z$57,AM64+AL65*100/1000*$AB$59,AM64)</f>
        <v>232.07944444444439</v>
      </c>
      <c r="AN65" s="244"/>
      <c r="AO65" s="252"/>
      <c r="AP65" s="252"/>
    </row>
    <row r="66" spans="1:42" x14ac:dyDescent="0.2">
      <c r="A66" s="117"/>
      <c r="B66" s="291"/>
      <c r="C66" s="291"/>
      <c r="D66" s="291"/>
      <c r="E66" s="291"/>
      <c r="F66" s="291"/>
      <c r="G66" s="320"/>
      <c r="H66" s="320"/>
      <c r="I66" s="252"/>
      <c r="J66" s="252"/>
      <c r="K66" s="252"/>
      <c r="L66" s="252"/>
      <c r="M66" s="252"/>
      <c r="N66" s="252"/>
      <c r="O66" s="252"/>
      <c r="P66" s="378"/>
      <c r="Q66" s="378"/>
      <c r="R66" s="378"/>
      <c r="T66" s="244">
        <v>200</v>
      </c>
      <c r="U66" s="244">
        <f t="shared" si="9"/>
        <v>99.162374546355082</v>
      </c>
      <c r="V66" s="244">
        <f t="shared" si="10"/>
        <v>97.575886219910529</v>
      </c>
      <c r="W66" s="244">
        <f t="shared" si="11"/>
        <v>96.147701240167009</v>
      </c>
      <c r="X66" s="244">
        <f t="shared" si="0"/>
        <v>2853.6800505192405</v>
      </c>
      <c r="Y66" s="244">
        <f t="shared" si="1"/>
        <v>2808.0243256713029</v>
      </c>
      <c r="Z66" s="244">
        <f t="shared" si="2"/>
        <v>2766.924230965119</v>
      </c>
      <c r="AA66" s="244">
        <f t="shared" ref="AA66:AA129" si="13">IF(T66&lt;$Y$58*$Y$57,AA65+X66*100/1000*$Y$59,AA65)</f>
        <v>573.14482649468903</v>
      </c>
      <c r="AB66" s="244">
        <f t="shared" ref="AB66:AB129" si="14">IF(T66&lt;$Y$58*$Y$57,AB65+Y66*100/1000*$Y$59,AB65)</f>
        <v>568.56667789837741</v>
      </c>
      <c r="AC66" s="244">
        <f t="shared" ref="AC66:AC129" si="15">IF(T66&lt;$Y$58*$Y$57,AC65+Z66*100/1000*$Y$59,AC65)</f>
        <v>564.43464264274985</v>
      </c>
      <c r="AD66" s="446">
        <f t="shared" si="4"/>
        <v>2877.7851111111108</v>
      </c>
      <c r="AE66" s="244">
        <f t="shared" ref="AE66:AE129" si="16">IF(T66&lt;$Y$58*$Y$57,AE65+AD66*100/1000*$Y$59,AE65)</f>
        <v>575.55702222222214</v>
      </c>
      <c r="AF66" s="244">
        <f t="shared" si="5"/>
        <v>1726.01615958825</v>
      </c>
      <c r="AG66" s="244">
        <f t="shared" si="6"/>
        <v>1698.4018098818365</v>
      </c>
      <c r="AH66" s="244">
        <f t="shared" si="7"/>
        <v>1673.5428816321282</v>
      </c>
      <c r="AI66" s="244">
        <f t="shared" ref="AI66:AI129" si="17">IF(T66&lt;$Y$58*$Z$57,AI65+AF66*100/1000*$AB$59,AI65)</f>
        <v>346.66017731533611</v>
      </c>
      <c r="AJ66" s="244">
        <f t="shared" ref="AJ66:AJ129" si="18">IF(T66&lt;$Y$58*$Z$57,AJ65+AG66*100/1000*$AB$59,AJ65)</f>
        <v>343.89113582563147</v>
      </c>
      <c r="AK66" s="244">
        <f t="shared" ref="AK66:AK129" si="19">IF(T66&lt;$Y$58*$Z$57,AK65+AH66*100/1000*$AB$59,AK65)</f>
        <v>341.3919209532761</v>
      </c>
      <c r="AL66" s="447">
        <f t="shared" si="8"/>
        <v>1740.5958333333331</v>
      </c>
      <c r="AM66" s="244">
        <f t="shared" si="12"/>
        <v>348.11916666666662</v>
      </c>
      <c r="AN66" s="244"/>
    </row>
    <row r="67" spans="1:42" x14ac:dyDescent="0.2">
      <c r="A67" s="117"/>
      <c r="B67" s="117"/>
      <c r="C67" s="117"/>
      <c r="D67" s="117"/>
      <c r="E67" s="117"/>
      <c r="F67" s="117"/>
      <c r="G67" s="320"/>
      <c r="H67" s="320"/>
      <c r="I67" s="252"/>
      <c r="J67" s="252"/>
      <c r="K67" s="252"/>
      <c r="L67" s="252"/>
      <c r="M67" s="252"/>
      <c r="N67" s="252"/>
      <c r="O67" s="252"/>
      <c r="P67" s="378"/>
      <c r="Q67" s="378"/>
      <c r="R67" s="378"/>
      <c r="T67" s="244">
        <v>300</v>
      </c>
      <c r="U67" s="244">
        <f t="shared" si="9"/>
        <v>98.746196565694348</v>
      </c>
      <c r="V67" s="244">
        <f t="shared" si="10"/>
        <v>96.385955408254617</v>
      </c>
      <c r="W67" s="244">
        <f t="shared" si="11"/>
        <v>94.277565200813555</v>
      </c>
      <c r="X67" s="244">
        <f t="shared" si="0"/>
        <v>2841.703342556063</v>
      </c>
      <c r="Y67" s="244">
        <f t="shared" si="1"/>
        <v>2773.7806739409461</v>
      </c>
      <c r="Z67" s="244">
        <f t="shared" si="2"/>
        <v>2713.1057344670821</v>
      </c>
      <c r="AA67" s="244">
        <f t="shared" si="13"/>
        <v>762.59171599842648</v>
      </c>
      <c r="AB67" s="244">
        <f t="shared" si="14"/>
        <v>753.48538949444048</v>
      </c>
      <c r="AC67" s="244">
        <f t="shared" si="15"/>
        <v>745.30835827388864</v>
      </c>
      <c r="AD67" s="446">
        <f t="shared" si="4"/>
        <v>2877.7851111111108</v>
      </c>
      <c r="AE67" s="244">
        <f t="shared" si="16"/>
        <v>767.40936296296286</v>
      </c>
      <c r="AF67" s="244">
        <f t="shared" si="5"/>
        <v>1718.7721829976188</v>
      </c>
      <c r="AG67" s="244">
        <f t="shared" si="6"/>
        <v>1677.6899237546043</v>
      </c>
      <c r="AH67" s="244">
        <f t="shared" si="7"/>
        <v>1640.9913716534772</v>
      </c>
      <c r="AI67" s="244">
        <f t="shared" si="17"/>
        <v>461.24498951517739</v>
      </c>
      <c r="AJ67" s="244">
        <f t="shared" si="18"/>
        <v>455.73713074260507</v>
      </c>
      <c r="AK67" s="244">
        <f t="shared" si="19"/>
        <v>450.79134573017456</v>
      </c>
      <c r="AL67" s="447">
        <f t="shared" si="8"/>
        <v>1740.5958333333331</v>
      </c>
      <c r="AM67" s="244">
        <f t="shared" si="12"/>
        <v>464.15888888888878</v>
      </c>
      <c r="AN67" s="244"/>
    </row>
    <row r="68" spans="1:42" x14ac:dyDescent="0.2">
      <c r="A68" s="117"/>
      <c r="B68" s="648" t="s">
        <v>503</v>
      </c>
      <c r="C68" s="648"/>
      <c r="D68" s="648"/>
      <c r="E68" s="648"/>
      <c r="F68" s="648"/>
      <c r="G68" s="320"/>
      <c r="H68" s="320"/>
      <c r="I68" s="252"/>
      <c r="J68" s="252"/>
      <c r="K68" s="252" t="s">
        <v>1012</v>
      </c>
      <c r="L68" s="252">
        <f>(100-L76)/L75</f>
        <v>1.4000071696580072</v>
      </c>
      <c r="M68" s="252">
        <f t="shared" ref="M68:N68" si="20">(100-M76)/M75</f>
        <v>0.775409999006063</v>
      </c>
      <c r="N68" s="252">
        <f t="shared" si="20"/>
        <v>0.73666847924596701</v>
      </c>
      <c r="O68" s="252"/>
      <c r="P68" s="378"/>
      <c r="Q68" s="378"/>
      <c r="R68" s="378"/>
      <c r="T68" s="244">
        <v>400</v>
      </c>
      <c r="U68" s="244">
        <f t="shared" si="9"/>
        <v>98.331765256716096</v>
      </c>
      <c r="V68" s="244">
        <f t="shared" si="10"/>
        <v>95.210535716009261</v>
      </c>
      <c r="W68" s="244">
        <f t="shared" si="11"/>
        <v>92.443804537684144</v>
      </c>
      <c r="X68" s="244">
        <f t="shared" si="0"/>
        <v>2829.7769000505041</v>
      </c>
      <c r="Y68" s="244">
        <f t="shared" si="1"/>
        <v>2739.954621044441</v>
      </c>
      <c r="Z68" s="244">
        <f t="shared" si="2"/>
        <v>2660.3340431301317</v>
      </c>
      <c r="AA68" s="244">
        <f t="shared" si="13"/>
        <v>951.24350933512665</v>
      </c>
      <c r="AB68" s="244">
        <f t="shared" si="14"/>
        <v>936.14903089740324</v>
      </c>
      <c r="AC68" s="244">
        <f t="shared" si="15"/>
        <v>922.66396114923077</v>
      </c>
      <c r="AD68" s="446">
        <f t="shared" si="4"/>
        <v>2877.7851111111108</v>
      </c>
      <c r="AE68" s="244">
        <f t="shared" si="16"/>
        <v>959.26170370370357</v>
      </c>
      <c r="AF68" s="244">
        <f t="shared" si="5"/>
        <v>1711.5586089015144</v>
      </c>
      <c r="AG68" s="244">
        <f t="shared" si="6"/>
        <v>1657.2306175672022</v>
      </c>
      <c r="AH68" s="244">
        <f t="shared" si="7"/>
        <v>1609.0730099577411</v>
      </c>
      <c r="AI68" s="244">
        <f t="shared" si="17"/>
        <v>575.34889677527838</v>
      </c>
      <c r="AJ68" s="244">
        <f t="shared" si="18"/>
        <v>566.21917191375189</v>
      </c>
      <c r="AK68" s="244">
        <f t="shared" si="19"/>
        <v>558.06287972735731</v>
      </c>
      <c r="AL68" s="447">
        <f t="shared" si="8"/>
        <v>1740.5958333333331</v>
      </c>
      <c r="AM68" s="244">
        <f t="shared" si="12"/>
        <v>580.19861111111095</v>
      </c>
      <c r="AN68" s="244"/>
    </row>
    <row r="69" spans="1:42" x14ac:dyDescent="0.2">
      <c r="A69" s="117"/>
      <c r="B69" s="648"/>
      <c r="C69" s="648"/>
      <c r="D69" s="648"/>
      <c r="E69" s="648"/>
      <c r="F69" s="648"/>
      <c r="G69" s="320"/>
      <c r="H69" s="320"/>
      <c r="I69" s="252"/>
      <c r="J69" s="252"/>
      <c r="K69" s="252"/>
      <c r="L69" s="252"/>
      <c r="M69" s="252"/>
      <c r="N69" s="252"/>
      <c r="O69" s="252"/>
      <c r="P69" s="378"/>
      <c r="Q69" s="378"/>
      <c r="R69" s="378"/>
      <c r="T69" s="244">
        <v>500</v>
      </c>
      <c r="U69" s="244">
        <f t="shared" si="9"/>
        <v>97.91907328875385</v>
      </c>
      <c r="V69" s="244">
        <f t="shared" si="10"/>
        <v>94.049450181132229</v>
      </c>
      <c r="W69" s="244">
        <f t="shared" si="11"/>
        <v>90.645711725781879</v>
      </c>
      <c r="X69" s="244">
        <f t="shared" si="0"/>
        <v>2817.9005120417346</v>
      </c>
      <c r="Y69" s="244">
        <f t="shared" si="1"/>
        <v>2706.5410743944849</v>
      </c>
      <c r="Z69" s="244">
        <f t="shared" si="2"/>
        <v>2608.5887959052493</v>
      </c>
      <c r="AA69" s="244">
        <f t="shared" si="13"/>
        <v>1139.1035434712423</v>
      </c>
      <c r="AB69" s="244">
        <f t="shared" si="14"/>
        <v>1116.5851025237023</v>
      </c>
      <c r="AC69" s="244">
        <f t="shared" si="15"/>
        <v>1096.5698808762475</v>
      </c>
      <c r="AD69" s="446">
        <f t="shared" si="4"/>
        <v>2877.7851111111108</v>
      </c>
      <c r="AE69" s="244">
        <f t="shared" si="16"/>
        <v>1151.1140444444443</v>
      </c>
      <c r="AF69" s="244">
        <f t="shared" si="5"/>
        <v>1704.3753097026624</v>
      </c>
      <c r="AG69" s="244">
        <f t="shared" si="6"/>
        <v>1637.0208111256964</v>
      </c>
      <c r="AH69" s="244">
        <f t="shared" si="7"/>
        <v>1577.7754813943038</v>
      </c>
      <c r="AI69" s="244">
        <f t="shared" si="17"/>
        <v>688.97391742212255</v>
      </c>
      <c r="AJ69" s="244">
        <f t="shared" si="18"/>
        <v>675.35389265546496</v>
      </c>
      <c r="AK69" s="244">
        <f t="shared" si="19"/>
        <v>663.24791182031095</v>
      </c>
      <c r="AL69" s="447">
        <f t="shared" si="8"/>
        <v>1740.5958333333331</v>
      </c>
      <c r="AM69" s="244">
        <f t="shared" si="12"/>
        <v>696.23833333333312</v>
      </c>
      <c r="AN69" s="244"/>
    </row>
    <row r="70" spans="1:42" s="241" customFormat="1" x14ac:dyDescent="0.2">
      <c r="A70" s="117"/>
      <c r="B70" s="292"/>
      <c r="C70" s="292"/>
      <c r="D70" s="292"/>
      <c r="E70" s="292"/>
      <c r="F70" s="292"/>
      <c r="G70" s="320"/>
      <c r="H70" s="320"/>
      <c r="I70" s="252"/>
      <c r="J70" s="252"/>
      <c r="K70" s="252"/>
      <c r="L70" s="252"/>
      <c r="M70" s="252"/>
      <c r="N70" s="252"/>
      <c r="O70" s="252"/>
      <c r="P70" s="378"/>
      <c r="Q70" s="378"/>
      <c r="R70" s="378"/>
      <c r="S70" s="436"/>
      <c r="T70" s="244">
        <v>600</v>
      </c>
      <c r="U70" s="244">
        <f t="shared" si="9"/>
        <v>97.508113361907462</v>
      </c>
      <c r="V70" s="244">
        <f t="shared" si="10"/>
        <v>92.902523999620485</v>
      </c>
      <c r="W70" s="244">
        <f t="shared" si="11"/>
        <v>88.882593001936499</v>
      </c>
      <c r="X70" s="244">
        <f t="shared" si="0"/>
        <v>2806.0739684543164</v>
      </c>
      <c r="Y70" s="244">
        <f t="shared" si="1"/>
        <v>2673.5350035075044</v>
      </c>
      <c r="Z70" s="244">
        <f t="shared" si="2"/>
        <v>2557.8500277792145</v>
      </c>
      <c r="AA70" s="244">
        <f>IF(T70&lt;$Y$58*$Y$57,AA69+X70*100/1000*$Y$59,AA69)</f>
        <v>1326.1751413681968</v>
      </c>
      <c r="AB70" s="244">
        <f t="shared" si="14"/>
        <v>1294.8207694242026</v>
      </c>
      <c r="AC70" s="244">
        <f t="shared" si="15"/>
        <v>1267.0932160615284</v>
      </c>
      <c r="AD70" s="446">
        <f t="shared" si="4"/>
        <v>2877.7851111111108</v>
      </c>
      <c r="AE70" s="244">
        <f t="shared" si="16"/>
        <v>1342.9663851851851</v>
      </c>
      <c r="AF70" s="244">
        <f t="shared" si="5"/>
        <v>1697.2221583393041</v>
      </c>
      <c r="AG70" s="244">
        <f t="shared" si="6"/>
        <v>1617.0574617988939</v>
      </c>
      <c r="AH70" s="244">
        <f t="shared" si="7"/>
        <v>1547.0867103503313</v>
      </c>
      <c r="AI70" s="244">
        <f t="shared" si="17"/>
        <v>802.12206131140954</v>
      </c>
      <c r="AJ70" s="244">
        <f t="shared" si="18"/>
        <v>783.15772344205789</v>
      </c>
      <c r="AK70" s="244">
        <f t="shared" si="19"/>
        <v>766.38702584366638</v>
      </c>
      <c r="AL70" s="447">
        <f t="shared" si="8"/>
        <v>1740.5958333333331</v>
      </c>
      <c r="AM70" s="244">
        <f t="shared" si="12"/>
        <v>812.27805555555528</v>
      </c>
      <c r="AN70" s="244"/>
      <c r="AO70" s="252"/>
      <c r="AP70" s="252"/>
    </row>
    <row r="71" spans="1:42" x14ac:dyDescent="0.2">
      <c r="A71" s="117"/>
      <c r="B71" s="159"/>
      <c r="C71" s="176"/>
      <c r="D71" s="176"/>
      <c r="E71" s="176"/>
      <c r="F71" s="176"/>
      <c r="G71" s="321"/>
      <c r="H71" s="322"/>
      <c r="I71" s="244"/>
      <c r="J71" s="252"/>
      <c r="K71" s="252"/>
      <c r="L71" s="252"/>
      <c r="M71" s="252"/>
      <c r="N71" s="252"/>
      <c r="O71" s="252"/>
      <c r="P71" s="378"/>
      <c r="Q71" s="378"/>
      <c r="R71" s="378"/>
      <c r="T71" s="244">
        <v>700</v>
      </c>
      <c r="U71" s="244">
        <f t="shared" si="9"/>
        <v>97.098878206914009</v>
      </c>
      <c r="V71" s="244">
        <f t="shared" si="10"/>
        <v>91.76958449919303</v>
      </c>
      <c r="W71" s="244">
        <f t="shared" si="11"/>
        <v>87.153768097127795</v>
      </c>
      <c r="X71" s="244">
        <f t="shared" si="0"/>
        <v>2794.2970600944827</v>
      </c>
      <c r="Y71" s="244">
        <f t="shared" si="1"/>
        <v>2640.931439246307</v>
      </c>
      <c r="Z71" s="244">
        <f t="shared" si="2"/>
        <v>2508.0981620714492</v>
      </c>
      <c r="AA71" s="244">
        <f t="shared" si="13"/>
        <v>1512.4616120411624</v>
      </c>
      <c r="AB71" s="244">
        <f t="shared" si="14"/>
        <v>1470.8828653739565</v>
      </c>
      <c r="AC71" s="244">
        <f t="shared" si="15"/>
        <v>1434.2997601996251</v>
      </c>
      <c r="AD71" s="446">
        <f t="shared" si="4"/>
        <v>2877.7851111111108</v>
      </c>
      <c r="AE71" s="244">
        <f t="shared" si="16"/>
        <v>1534.8187259259257</v>
      </c>
      <c r="AF71" s="244">
        <f t="shared" si="5"/>
        <v>1690.099028282953</v>
      </c>
      <c r="AG71" s="244">
        <f t="shared" si="6"/>
        <v>1597.3375640602662</v>
      </c>
      <c r="AH71" s="244">
        <f t="shared" si="7"/>
        <v>1516.9948560916021</v>
      </c>
      <c r="AI71" s="244">
        <f t="shared" si="17"/>
        <v>914.79532986360641</v>
      </c>
      <c r="AJ71" s="244">
        <f t="shared" si="18"/>
        <v>889.64689437940899</v>
      </c>
      <c r="AK71" s="244">
        <f t="shared" si="19"/>
        <v>867.52001624977322</v>
      </c>
      <c r="AL71" s="447">
        <f t="shared" si="8"/>
        <v>1740.5958333333331</v>
      </c>
      <c r="AM71" s="244">
        <f t="shared" si="12"/>
        <v>928.31777777777745</v>
      </c>
      <c r="AN71" s="244"/>
    </row>
    <row r="72" spans="1:42" x14ac:dyDescent="0.2">
      <c r="A72" s="117"/>
      <c r="B72" s="162"/>
      <c r="C72" s="132"/>
      <c r="D72" s="132"/>
      <c r="E72" s="132"/>
      <c r="F72" s="132"/>
      <c r="G72" s="428"/>
      <c r="H72" s="317"/>
      <c r="I72" s="244"/>
      <c r="J72" s="252"/>
      <c r="K72" s="252"/>
      <c r="L72" s="252"/>
      <c r="M72" s="252"/>
      <c r="N72" s="252"/>
      <c r="O72" s="252"/>
      <c r="P72" s="378"/>
      <c r="Q72" s="378"/>
      <c r="R72" s="378"/>
      <c r="T72" s="244">
        <v>800</v>
      </c>
      <c r="U72" s="244">
        <f t="shared" si="9"/>
        <v>96.691360585019183</v>
      </c>
      <c r="V72" s="244">
        <f t="shared" si="10"/>
        <v>90.650461113294753</v>
      </c>
      <c r="W72" s="244">
        <f t="shared" si="11"/>
        <v>85.458569974015504</v>
      </c>
      <c r="X72" s="244">
        <f t="shared" si="0"/>
        <v>2782.5695786464389</v>
      </c>
      <c r="Y72" s="244">
        <f t="shared" si="1"/>
        <v>2608.7254730719637</v>
      </c>
      <c r="Z72" s="244">
        <f t="shared" si="2"/>
        <v>2459.3140028806883</v>
      </c>
      <c r="AA72" s="244">
        <f t="shared" si="13"/>
        <v>1697.9662506175916</v>
      </c>
      <c r="AB72" s="244">
        <f t="shared" si="14"/>
        <v>1644.7978969120875</v>
      </c>
      <c r="AC72" s="244">
        <f t="shared" si="15"/>
        <v>1598.2540270583377</v>
      </c>
      <c r="AD72" s="446">
        <f t="shared" si="4"/>
        <v>2877.7851111111108</v>
      </c>
      <c r="AE72" s="244">
        <f t="shared" si="16"/>
        <v>1726.6710666666663</v>
      </c>
      <c r="AF72" s="244">
        <f t="shared" si="5"/>
        <v>1683.0057935361526</v>
      </c>
      <c r="AG72" s="244">
        <f t="shared" si="6"/>
        <v>1577.8581490354618</v>
      </c>
      <c r="AH72" s="244">
        <f t="shared" si="7"/>
        <v>1487.4883081939647</v>
      </c>
      <c r="AI72" s="244">
        <f t="shared" si="17"/>
        <v>1026.9957160993499</v>
      </c>
      <c r="AJ72" s="244">
        <f t="shared" si="18"/>
        <v>994.83743764843985</v>
      </c>
      <c r="AK72" s="244">
        <f t="shared" si="19"/>
        <v>966.68590346270423</v>
      </c>
      <c r="AL72" s="447">
        <f t="shared" si="8"/>
        <v>1740.5958333333331</v>
      </c>
      <c r="AM72" s="244">
        <f t="shared" si="12"/>
        <v>1044.3574999999996</v>
      </c>
      <c r="AN72" s="244"/>
    </row>
    <row r="73" spans="1:42" x14ac:dyDescent="0.2">
      <c r="A73" s="117"/>
      <c r="B73" s="162"/>
      <c r="C73" s="132"/>
      <c r="D73" s="132"/>
      <c r="E73" s="132"/>
      <c r="F73" s="132"/>
      <c r="G73" s="428"/>
      <c r="H73" s="317"/>
      <c r="I73" s="244"/>
      <c r="J73" s="252"/>
      <c r="K73" s="252"/>
      <c r="L73" s="252"/>
      <c r="M73" s="252"/>
      <c r="N73" s="252"/>
      <c r="O73" s="252"/>
      <c r="P73" s="378"/>
      <c r="Q73" s="378"/>
      <c r="R73" s="378"/>
      <c r="T73" s="244">
        <v>900</v>
      </c>
      <c r="U73" s="244">
        <f t="shared" si="9"/>
        <v>96.285553287849211</v>
      </c>
      <c r="V73" s="244">
        <f t="shared" si="10"/>
        <v>89.544985355417239</v>
      </c>
      <c r="W73" s="244">
        <f t="shared" si="11"/>
        <v>83.796344569574416</v>
      </c>
      <c r="X73" s="244">
        <f t="shared" si="0"/>
        <v>2770.8913166686793</v>
      </c>
      <c r="Y73" s="244">
        <f t="shared" si="1"/>
        <v>2576.9122563048218</v>
      </c>
      <c r="Z73" s="244">
        <f t="shared" si="2"/>
        <v>2411.4787276785764</v>
      </c>
      <c r="AA73" s="244">
        <f t="shared" si="13"/>
        <v>1882.6923383955036</v>
      </c>
      <c r="AB73" s="244">
        <f t="shared" si="14"/>
        <v>1816.592047332409</v>
      </c>
      <c r="AC73" s="244">
        <f t="shared" si="15"/>
        <v>1759.0192755702428</v>
      </c>
      <c r="AD73" s="446">
        <f t="shared" si="4"/>
        <v>2877.7851111111108</v>
      </c>
      <c r="AE73" s="244">
        <f t="shared" si="16"/>
        <v>1918.5234074074069</v>
      </c>
      <c r="AF73" s="244">
        <f t="shared" si="5"/>
        <v>1675.9423286302494</v>
      </c>
      <c r="AG73" s="244">
        <f t="shared" si="6"/>
        <v>1558.6162840553359</v>
      </c>
      <c r="AH73" s="244">
        <f t="shared" si="7"/>
        <v>1458.555682063655</v>
      </c>
      <c r="AI73" s="244">
        <f t="shared" si="17"/>
        <v>1138.7252046746999</v>
      </c>
      <c r="AJ73" s="244">
        <f t="shared" si="18"/>
        <v>1098.7451899187956</v>
      </c>
      <c r="AK73" s="244">
        <f t="shared" si="19"/>
        <v>1063.9229489336146</v>
      </c>
      <c r="AL73" s="447">
        <f t="shared" si="8"/>
        <v>1740.5958333333331</v>
      </c>
      <c r="AM73" s="244">
        <f t="shared" si="12"/>
        <v>1160.3972222222219</v>
      </c>
      <c r="AN73" s="244"/>
    </row>
    <row r="74" spans="1:42" x14ac:dyDescent="0.2">
      <c r="A74" s="117"/>
      <c r="B74" s="253"/>
      <c r="C74" s="254"/>
      <c r="D74" s="254"/>
      <c r="E74" s="254"/>
      <c r="F74" s="254"/>
      <c r="G74" s="428"/>
      <c r="H74" s="317"/>
      <c r="I74" s="244"/>
      <c r="J74" s="252"/>
      <c r="K74" s="252"/>
      <c r="L74" s="252" t="s">
        <v>506</v>
      </c>
      <c r="M74" s="252" t="s">
        <v>504</v>
      </c>
      <c r="N74" s="252" t="s">
        <v>505</v>
      </c>
      <c r="O74" s="252"/>
      <c r="P74" s="378"/>
      <c r="Q74" s="378"/>
      <c r="R74" s="378"/>
      <c r="T74" s="244">
        <v>1000</v>
      </c>
      <c r="U74" s="244">
        <f t="shared" si="9"/>
        <v>95.881449137283454</v>
      </c>
      <c r="V74" s="244">
        <f t="shared" si="10"/>
        <v>88.452990793732738</v>
      </c>
      <c r="W74" s="244">
        <f t="shared" si="11"/>
        <v>82.16645054273549</v>
      </c>
      <c r="X74" s="244">
        <f t="shared" si="0"/>
        <v>2759.2620675903158</v>
      </c>
      <c r="Y74" s="244">
        <f t="shared" si="1"/>
        <v>2545.4869993945222</v>
      </c>
      <c r="Z74" s="244">
        <f t="shared" si="2"/>
        <v>2364.5738800473164</v>
      </c>
      <c r="AA74" s="244">
        <f t="shared" si="13"/>
        <v>2066.6431429015247</v>
      </c>
      <c r="AB74" s="244">
        <f t="shared" si="14"/>
        <v>1986.2911806253771</v>
      </c>
      <c r="AC74" s="244">
        <f t="shared" si="15"/>
        <v>1916.6575342400638</v>
      </c>
      <c r="AD74" s="446">
        <f t="shared" si="4"/>
        <v>2877.7851111111108</v>
      </c>
      <c r="AE74" s="244">
        <f t="shared" si="16"/>
        <v>2110.3757481481475</v>
      </c>
      <c r="AF74" s="244">
        <f t="shared" si="5"/>
        <v>1668.9085086231748</v>
      </c>
      <c r="AG74" s="244">
        <f t="shared" si="6"/>
        <v>1539.6090722144288</v>
      </c>
      <c r="AH74" s="244">
        <f t="shared" si="7"/>
        <v>1430.1858145447477</v>
      </c>
      <c r="AI74" s="244">
        <f t="shared" si="17"/>
        <v>1249.9857719162449</v>
      </c>
      <c r="AJ74" s="244">
        <f t="shared" si="18"/>
        <v>1201.385794733091</v>
      </c>
      <c r="AK74" s="244">
        <f t="shared" si="19"/>
        <v>1159.2686699032645</v>
      </c>
      <c r="AL74" s="447">
        <f t="shared" si="8"/>
        <v>1740.5958333333331</v>
      </c>
      <c r="AM74" s="244">
        <f t="shared" si="12"/>
        <v>1276.4369444444442</v>
      </c>
      <c r="AN74" s="244"/>
    </row>
    <row r="75" spans="1:42" x14ac:dyDescent="0.2">
      <c r="A75" s="117"/>
      <c r="B75" s="253"/>
      <c r="C75" s="254"/>
      <c r="D75" s="254"/>
      <c r="E75" s="254"/>
      <c r="F75" s="254"/>
      <c r="G75" s="428"/>
      <c r="H75" s="317"/>
      <c r="I75" s="244"/>
      <c r="J75" s="252"/>
      <c r="K75" s="252" t="s">
        <v>507</v>
      </c>
      <c r="L75" s="252">
        <v>83.686000000000007</v>
      </c>
      <c r="M75" s="252">
        <v>100.61</v>
      </c>
      <c r="N75" s="252">
        <v>55.17</v>
      </c>
      <c r="O75" s="252"/>
      <c r="P75" s="378"/>
      <c r="Q75" s="378"/>
      <c r="R75" s="378"/>
      <c r="T75" s="244">
        <v>1100</v>
      </c>
      <c r="U75" s="244">
        <f t="shared" si="9"/>
        <v>95.479040985327345</v>
      </c>
      <c r="V75" s="244">
        <f t="shared" si="10"/>
        <v>87.37431302603747</v>
      </c>
      <c r="W75" s="244">
        <f t="shared" si="11"/>
        <v>80.568259026935323</v>
      </c>
      <c r="X75" s="244">
        <f t="shared" si="0"/>
        <v>2747.6816257074256</v>
      </c>
      <c r="Y75" s="244">
        <f t="shared" si="1"/>
        <v>2514.4449711989223</v>
      </c>
      <c r="Z75" s="244">
        <f t="shared" si="2"/>
        <v>2318.5813625585783</v>
      </c>
      <c r="AA75" s="244">
        <f t="shared" si="13"/>
        <v>2249.8219179486864</v>
      </c>
      <c r="AB75" s="244">
        <f t="shared" si="14"/>
        <v>2153.9208453719721</v>
      </c>
      <c r="AC75" s="244">
        <f t="shared" si="15"/>
        <v>2071.2296250773024</v>
      </c>
      <c r="AD75" s="446">
        <f t="shared" si="4"/>
        <v>2877.7851111111108</v>
      </c>
      <c r="AE75" s="244">
        <f t="shared" si="16"/>
        <v>2302.2280888888881</v>
      </c>
      <c r="AF75" s="244">
        <f t="shared" si="5"/>
        <v>1661.9042090972332</v>
      </c>
      <c r="AG75" s="244">
        <f t="shared" si="6"/>
        <v>1520.8336519348318</v>
      </c>
      <c r="AH75" s="244">
        <f t="shared" si="7"/>
        <v>1402.3677596120431</v>
      </c>
      <c r="AI75" s="244">
        <f t="shared" si="17"/>
        <v>1360.7793858560603</v>
      </c>
      <c r="AJ75" s="244">
        <f t="shared" si="18"/>
        <v>1302.7747048620797</v>
      </c>
      <c r="AK75" s="244">
        <f t="shared" si="19"/>
        <v>1252.7598538774007</v>
      </c>
      <c r="AL75" s="447">
        <f t="shared" si="8"/>
        <v>1740.5958333333331</v>
      </c>
      <c r="AM75" s="244">
        <f t="shared" si="12"/>
        <v>1392.4766666666665</v>
      </c>
      <c r="AN75" s="244"/>
    </row>
    <row r="76" spans="1:42" x14ac:dyDescent="0.2">
      <c r="A76" s="117"/>
      <c r="B76" s="162"/>
      <c r="C76" s="132"/>
      <c r="D76" s="132"/>
      <c r="E76" s="132"/>
      <c r="F76" s="132"/>
      <c r="G76" s="428"/>
      <c r="H76" s="317"/>
      <c r="I76" s="244"/>
      <c r="J76" s="252"/>
      <c r="K76" s="252" t="s">
        <v>62</v>
      </c>
      <c r="L76" s="252">
        <v>-17.161000000000001</v>
      </c>
      <c r="M76" s="252">
        <v>21.986000000000001</v>
      </c>
      <c r="N76" s="252">
        <v>59.357999999999997</v>
      </c>
      <c r="O76" s="252"/>
      <c r="P76" s="378"/>
      <c r="Q76" s="378"/>
      <c r="R76" s="378"/>
      <c r="T76" s="244">
        <v>1200</v>
      </c>
      <c r="U76" s="244">
        <f t="shared" si="9"/>
        <v>95.078321713985972</v>
      </c>
      <c r="V76" s="244">
        <f t="shared" si="10"/>
        <v>86.308789655000581</v>
      </c>
      <c r="W76" s="244">
        <f t="shared" si="11"/>
        <v>79.001153387478908</v>
      </c>
      <c r="X76" s="244">
        <f t="shared" si="0"/>
        <v>2736.149786179411</v>
      </c>
      <c r="Y76" s="244">
        <f t="shared" si="1"/>
        <v>2483.7814982718132</v>
      </c>
      <c r="Z76" s="244">
        <f t="shared" si="2"/>
        <v>2273.4834297909188</v>
      </c>
      <c r="AA76" s="244">
        <f t="shared" si="13"/>
        <v>2432.2319036939803</v>
      </c>
      <c r="AB76" s="244">
        <f t="shared" si="14"/>
        <v>2319.5062785900927</v>
      </c>
      <c r="AC76" s="244">
        <f t="shared" si="15"/>
        <v>2222.7951870633638</v>
      </c>
      <c r="AD76" s="446">
        <f t="shared" si="4"/>
        <v>2877.7851111111108</v>
      </c>
      <c r="AE76" s="244">
        <f t="shared" si="16"/>
        <v>2494.0804296296287</v>
      </c>
      <c r="AF76" s="244">
        <f t="shared" si="5"/>
        <v>1654.9293061569015</v>
      </c>
      <c r="AG76" s="244">
        <f t="shared" si="6"/>
        <v>1502.2871965353709</v>
      </c>
      <c r="AH76" s="244">
        <f t="shared" si="7"/>
        <v>1375.0907841477331</v>
      </c>
      <c r="AI76" s="244">
        <f t="shared" si="17"/>
        <v>1471.1080062665205</v>
      </c>
      <c r="AJ76" s="244">
        <f t="shared" si="18"/>
        <v>1402.9271846311044</v>
      </c>
      <c r="AK76" s="244">
        <f t="shared" si="19"/>
        <v>1344.4325728205829</v>
      </c>
      <c r="AL76" s="447">
        <f t="shared" si="8"/>
        <v>1740.5958333333331</v>
      </c>
      <c r="AM76" s="244">
        <f t="shared" si="12"/>
        <v>1508.5163888888887</v>
      </c>
      <c r="AN76" s="244"/>
    </row>
    <row r="77" spans="1:42" x14ac:dyDescent="0.2">
      <c r="A77" s="117"/>
      <c r="B77" s="162"/>
      <c r="C77" s="132"/>
      <c r="D77" s="132"/>
      <c r="E77" s="132"/>
      <c r="F77" s="132"/>
      <c r="G77" s="428"/>
      <c r="H77" s="317"/>
      <c r="I77" s="244"/>
      <c r="J77" s="252"/>
      <c r="K77" s="252" t="s">
        <v>75</v>
      </c>
      <c r="L77" s="252">
        <v>30000</v>
      </c>
      <c r="M77" s="252">
        <v>5000</v>
      </c>
      <c r="N77" s="252">
        <v>2000</v>
      </c>
      <c r="O77" s="252"/>
      <c r="P77" s="378"/>
      <c r="Q77" s="378"/>
      <c r="R77" s="378"/>
      <c r="T77" s="244">
        <v>1300</v>
      </c>
      <c r="U77" s="244">
        <f t="shared" si="9"/>
        <v>94.679284235138169</v>
      </c>
      <c r="V77" s="244">
        <f t="shared" si="10"/>
        <v>85.256260263714793</v>
      </c>
      <c r="W77" s="244">
        <f t="shared" si="11"/>
        <v>77.464528983621676</v>
      </c>
      <c r="X77" s="244">
        <f t="shared" si="0"/>
        <v>2724.6663450253754</v>
      </c>
      <c r="Y77" s="244">
        <f t="shared" si="1"/>
        <v>2453.4919641593228</v>
      </c>
      <c r="Z77" s="244">
        <f t="shared" si="2"/>
        <v>2229.262681483016</v>
      </c>
      <c r="AA77" s="244">
        <f t="shared" si="13"/>
        <v>2613.8763266956721</v>
      </c>
      <c r="AB77" s="244">
        <f t="shared" si="14"/>
        <v>2483.0724095340474</v>
      </c>
      <c r="AC77" s="244">
        <f t="shared" si="15"/>
        <v>2371.4126991622315</v>
      </c>
      <c r="AD77" s="446">
        <f t="shared" si="4"/>
        <v>2877.7851111111108</v>
      </c>
      <c r="AE77" s="244">
        <f t="shared" si="16"/>
        <v>2685.9327703703693</v>
      </c>
      <c r="AF77" s="244">
        <f t="shared" si="5"/>
        <v>1647.9836764266383</v>
      </c>
      <c r="AG77" s="244">
        <f t="shared" si="6"/>
        <v>1483.9669138060417</v>
      </c>
      <c r="AH77" s="244">
        <f t="shared" si="7"/>
        <v>1348.3443638002109</v>
      </c>
      <c r="AI77" s="244">
        <f t="shared" si="17"/>
        <v>1580.9735846949632</v>
      </c>
      <c r="AJ77" s="244">
        <f t="shared" si="18"/>
        <v>1501.858312218174</v>
      </c>
      <c r="AK77" s="244">
        <f t="shared" si="19"/>
        <v>1434.3221970739303</v>
      </c>
      <c r="AL77" s="447">
        <f t="shared" si="8"/>
        <v>1740.5958333333331</v>
      </c>
      <c r="AM77" s="244">
        <f t="shared" si="12"/>
        <v>1624.556111111111</v>
      </c>
      <c r="AN77" s="244"/>
    </row>
    <row r="78" spans="1:42" x14ac:dyDescent="0.2">
      <c r="A78" s="117"/>
      <c r="B78" s="162"/>
      <c r="C78" s="132"/>
      <c r="D78" s="132"/>
      <c r="E78" s="132"/>
      <c r="F78" s="132"/>
      <c r="G78" s="428"/>
      <c r="H78" s="317"/>
      <c r="I78" s="244"/>
      <c r="J78" s="252"/>
      <c r="K78" s="252" t="s">
        <v>509</v>
      </c>
      <c r="L78" s="252">
        <f>IF(F54&lt;L68,L75*F54+L76,100)</f>
        <v>28.316376496887479</v>
      </c>
      <c r="M78" s="252">
        <f>IF(D52&lt;M68,M75*D52+M76,L75*D52+L76)</f>
        <v>54.145530085032107</v>
      </c>
      <c r="N78" s="252">
        <f>IF(D54&lt;N68,N75*D54+N76,L75*D54+L76)</f>
        <v>67.513255947917983</v>
      </c>
      <c r="O78" s="252"/>
      <c r="P78" s="378"/>
      <c r="Q78" s="378"/>
      <c r="R78" s="378"/>
      <c r="T78" s="244">
        <v>1400</v>
      </c>
      <c r="U78" s="244">
        <f t="shared" si="9"/>
        <v>94.281921490411207</v>
      </c>
      <c r="V78" s="244">
        <f t="shared" si="10"/>
        <v>84.216566391545271</v>
      </c>
      <c r="W78" s="244">
        <f t="shared" si="11"/>
        <v>75.957792935279301</v>
      </c>
      <c r="X78" s="244">
        <f t="shared" si="0"/>
        <v>2713.2310991205204</v>
      </c>
      <c r="Y78" s="244">
        <f t="shared" si="1"/>
        <v>2423.5718087048936</v>
      </c>
      <c r="Z78" s="244">
        <f t="shared" si="2"/>
        <v>2185.902055820075</v>
      </c>
      <c r="AA78" s="244">
        <f t="shared" si="13"/>
        <v>2794.7583999703734</v>
      </c>
      <c r="AB78" s="244">
        <f t="shared" si="14"/>
        <v>2644.6438634477072</v>
      </c>
      <c r="AC78" s="244">
        <f t="shared" si="15"/>
        <v>2517.13950288357</v>
      </c>
      <c r="AD78" s="446">
        <f t="shared" si="4"/>
        <v>2877.7851111111108</v>
      </c>
      <c r="AE78" s="244">
        <f t="shared" si="16"/>
        <v>2877.7851111111099</v>
      </c>
      <c r="AF78" s="244">
        <f t="shared" si="5"/>
        <v>1641.0671970487019</v>
      </c>
      <c r="AG78" s="244">
        <f t="shared" si="6"/>
        <v>1465.8700455876369</v>
      </c>
      <c r="AH78" s="244">
        <f t="shared" si="7"/>
        <v>1322.1181789234324</v>
      </c>
      <c r="AI78" s="244">
        <f t="shared" si="17"/>
        <v>1690.3780644982101</v>
      </c>
      <c r="AJ78" s="244">
        <f t="shared" si="18"/>
        <v>1599.5829819240164</v>
      </c>
      <c r="AK78" s="244">
        <f t="shared" si="19"/>
        <v>1522.4634090021591</v>
      </c>
      <c r="AL78" s="447">
        <f t="shared" si="8"/>
        <v>1740.5958333333331</v>
      </c>
      <c r="AM78" s="244">
        <f t="shared" si="12"/>
        <v>1740.5958333333333</v>
      </c>
      <c r="AN78" s="244"/>
    </row>
    <row r="79" spans="1:42" x14ac:dyDescent="0.2">
      <c r="A79" s="117"/>
      <c r="B79" s="162"/>
      <c r="C79" s="132"/>
      <c r="D79" s="132"/>
      <c r="E79" s="132"/>
      <c r="F79" s="132"/>
      <c r="G79" s="428"/>
      <c r="H79" s="317"/>
      <c r="I79" s="244"/>
      <c r="J79" s="252"/>
      <c r="K79" s="252"/>
      <c r="L79" s="252"/>
      <c r="M79" s="252"/>
      <c r="N79" s="252"/>
      <c r="O79" s="252"/>
      <c r="P79" s="378"/>
      <c r="Q79" s="378"/>
      <c r="R79" s="378"/>
      <c r="T79" s="244">
        <v>1500</v>
      </c>
      <c r="U79" s="244">
        <f t="shared" si="9"/>
        <v>93.886226451055833</v>
      </c>
      <c r="V79" s="244">
        <f t="shared" si="10"/>
        <v>83.189551510273134</v>
      </c>
      <c r="W79" s="244">
        <f t="shared" si="11"/>
        <v>74.480363894275143</v>
      </c>
      <c r="X79" s="244">
        <f t="shared" si="0"/>
        <v>2701.8438461925462</v>
      </c>
      <c r="Y79" s="244">
        <f t="shared" si="1"/>
        <v>2394.0165273627485</v>
      </c>
      <c r="Z79" s="244">
        <f t="shared" si="2"/>
        <v>2143.3848228508259</v>
      </c>
      <c r="AA79" s="244">
        <f t="shared" si="13"/>
        <v>2974.8813230498763</v>
      </c>
      <c r="AB79" s="244">
        <f t="shared" si="14"/>
        <v>2804.2449652718906</v>
      </c>
      <c r="AC79" s="244">
        <f t="shared" si="15"/>
        <v>2660.0318244069585</v>
      </c>
      <c r="AD79" s="446">
        <f t="shared" si="4"/>
        <v>2877.7851111111108</v>
      </c>
      <c r="AE79" s="244">
        <f t="shared" si="16"/>
        <v>3069.6374518518505</v>
      </c>
      <c r="AF79" s="244">
        <f t="shared" si="5"/>
        <v>1634.1797456809754</v>
      </c>
      <c r="AG79" s="244">
        <f t="shared" si="6"/>
        <v>1447.9938673565009</v>
      </c>
      <c r="AH79" s="244">
        <f t="shared" si="7"/>
        <v>1296.4021105952575</v>
      </c>
      <c r="AI79" s="244">
        <f t="shared" si="17"/>
        <v>1799.3233808769417</v>
      </c>
      <c r="AJ79" s="244">
        <f t="shared" si="18"/>
        <v>1696.1159064144499</v>
      </c>
      <c r="AK79" s="244">
        <f t="shared" si="19"/>
        <v>1608.8902163751764</v>
      </c>
      <c r="AL79" s="447">
        <f t="shared" si="8"/>
        <v>1740.5958333333331</v>
      </c>
      <c r="AM79" s="244">
        <f t="shared" si="12"/>
        <v>1856.6355555555556</v>
      </c>
      <c r="AN79" s="244"/>
    </row>
    <row r="80" spans="1:42" x14ac:dyDescent="0.2">
      <c r="A80" s="117"/>
      <c r="B80" s="162"/>
      <c r="C80" s="132"/>
      <c r="D80" s="132"/>
      <c r="E80" s="132"/>
      <c r="F80" s="132"/>
      <c r="G80" s="428"/>
      <c r="H80" s="317"/>
      <c r="I80" s="244"/>
      <c r="J80" s="252"/>
      <c r="K80" s="252" t="s">
        <v>508</v>
      </c>
      <c r="L80" s="252">
        <f>1/L77*LN(L78/100)</f>
        <v>-4.2057662463497349E-5</v>
      </c>
      <c r="M80" s="252">
        <f>IF(D52&lt;M68,1/M77*LN(M78/100),1/L77*LN(M78/100))</f>
        <v>-1.2269895257088453E-4</v>
      </c>
      <c r="N80" s="252">
        <f>IF(D54&lt;N68,1/N77*LN(N78/100),1/L77*LN(M78/100))</f>
        <v>-1.9642311148845111E-4</v>
      </c>
      <c r="O80" s="252"/>
      <c r="P80" s="378"/>
      <c r="Q80" s="378"/>
      <c r="R80" s="378"/>
      <c r="T80" s="244">
        <v>1600</v>
      </c>
      <c r="U80" s="244">
        <f t="shared" si="9"/>
        <v>93.492192117822</v>
      </c>
      <c r="V80" s="244">
        <f t="shared" si="10"/>
        <v>82.175061000529638</v>
      </c>
      <c r="W80" s="244">
        <f t="shared" si="11"/>
        <v>73.031671820037019</v>
      </c>
      <c r="X80" s="244">
        <f t="shared" si="0"/>
        <v>2690.5043848180771</v>
      </c>
      <c r="Y80" s="244">
        <f t="shared" si="1"/>
        <v>2364.8216705197146</v>
      </c>
      <c r="Z80" s="244">
        <f t="shared" si="2"/>
        <v>2101.6945780325541</v>
      </c>
      <c r="AA80" s="244">
        <f t="shared" si="13"/>
        <v>3154.2482820377481</v>
      </c>
      <c r="AB80" s="244">
        <f t="shared" si="14"/>
        <v>2961.8997433065383</v>
      </c>
      <c r="AC80" s="244">
        <f t="shared" si="15"/>
        <v>2800.1447962757957</v>
      </c>
      <c r="AD80" s="446">
        <f t="shared" si="4"/>
        <v>2877.7851111111108</v>
      </c>
      <c r="AE80" s="244">
        <f t="shared" si="16"/>
        <v>3261.4897925925911</v>
      </c>
      <c r="AF80" s="244">
        <f t="shared" si="5"/>
        <v>1627.3212004948045</v>
      </c>
      <c r="AG80" s="244">
        <f t="shared" si="6"/>
        <v>1430.3356878143436</v>
      </c>
      <c r="AH80" s="244">
        <f t="shared" si="7"/>
        <v>1271.1862367132383</v>
      </c>
      <c r="AI80" s="244">
        <f t="shared" si="17"/>
        <v>1907.8114609099287</v>
      </c>
      <c r="AJ80" s="244">
        <f t="shared" si="18"/>
        <v>1791.4716189354062</v>
      </c>
      <c r="AK80" s="244">
        <f t="shared" si="19"/>
        <v>1693.6359654893922</v>
      </c>
      <c r="AL80" s="447">
        <f t="shared" si="8"/>
        <v>1740.5958333333331</v>
      </c>
      <c r="AM80" s="244">
        <f t="shared" si="12"/>
        <v>1972.6752777777779</v>
      </c>
      <c r="AN80" s="244"/>
    </row>
    <row r="81" spans="1:42" x14ac:dyDescent="0.2">
      <c r="A81" s="117"/>
      <c r="B81" s="162"/>
      <c r="C81" s="132"/>
      <c r="D81" s="132"/>
      <c r="E81" s="132"/>
      <c r="F81" s="132"/>
      <c r="G81" s="428"/>
      <c r="H81" s="317"/>
      <c r="I81" s="244"/>
      <c r="J81" s="252"/>
      <c r="K81" s="252"/>
      <c r="L81" s="252"/>
      <c r="M81" s="252"/>
      <c r="N81" s="252"/>
      <c r="O81" s="252"/>
      <c r="P81" s="378"/>
      <c r="Q81" s="378"/>
      <c r="R81" s="378"/>
      <c r="T81" s="244">
        <v>1700</v>
      </c>
      <c r="U81" s="244">
        <f t="shared" si="9"/>
        <v>93.099811520835075</v>
      </c>
      <c r="V81" s="244">
        <f t="shared" si="10"/>
        <v>81.172942128517974</v>
      </c>
      <c r="W81" s="244">
        <f t="shared" si="11"/>
        <v>71.611157759656891</v>
      </c>
      <c r="X81" s="244">
        <f t="shared" si="0"/>
        <v>2679.2125144190982</v>
      </c>
      <c r="Y81" s="244">
        <f t="shared" si="1"/>
        <v>2335.9828428253286</v>
      </c>
      <c r="Z81" s="244">
        <f t="shared" si="2"/>
        <v>2060.8152359016949</v>
      </c>
      <c r="AA81" s="244">
        <f t="shared" si="13"/>
        <v>3332.862449665688</v>
      </c>
      <c r="AB81" s="244">
        <f t="shared" si="14"/>
        <v>3117.631932828227</v>
      </c>
      <c r="AC81" s="244">
        <f t="shared" si="15"/>
        <v>2937.5324786692418</v>
      </c>
      <c r="AD81" s="446">
        <f t="shared" si="4"/>
        <v>2877.7851111111108</v>
      </c>
      <c r="AE81" s="244">
        <f t="shared" si="16"/>
        <v>3453.3421333333317</v>
      </c>
      <c r="AF81" s="244">
        <f t="shared" si="5"/>
        <v>1620.4914401728417</v>
      </c>
      <c r="AG81" s="244">
        <f t="shared" si="6"/>
        <v>1412.8928484830615</v>
      </c>
      <c r="AH81" s="244">
        <f t="shared" si="7"/>
        <v>1246.4608281663477</v>
      </c>
      <c r="AI81" s="244">
        <f t="shared" si="17"/>
        <v>2015.8442235881182</v>
      </c>
      <c r="AJ81" s="244">
        <f t="shared" si="18"/>
        <v>1885.6644755009436</v>
      </c>
      <c r="AK81" s="244">
        <f t="shared" si="19"/>
        <v>1776.7333540338154</v>
      </c>
      <c r="AL81" s="447">
        <f t="shared" si="8"/>
        <v>1740.5958333333331</v>
      </c>
      <c r="AM81" s="244">
        <f t="shared" si="12"/>
        <v>2088.7150000000001</v>
      </c>
      <c r="AN81" s="244"/>
    </row>
    <row r="82" spans="1:42" x14ac:dyDescent="0.2">
      <c r="A82" s="117"/>
      <c r="B82" s="162"/>
      <c r="C82" s="132"/>
      <c r="D82" s="132"/>
      <c r="E82" s="132"/>
      <c r="F82" s="132"/>
      <c r="G82" s="428"/>
      <c r="H82" s="317"/>
      <c r="I82" s="244"/>
      <c r="J82" s="252"/>
      <c r="K82" s="252">
        <v>0</v>
      </c>
      <c r="L82" s="252">
        <f>100*EXP($L$80*$K82)</f>
        <v>100</v>
      </c>
      <c r="M82" s="252">
        <f>100*EXP($M$80*$K82)</f>
        <v>100</v>
      </c>
      <c r="N82" s="252">
        <f>100*EXP($N$80*$K82)</f>
        <v>100</v>
      </c>
      <c r="O82" s="252"/>
      <c r="P82" s="378"/>
      <c r="Q82" s="378"/>
      <c r="R82" s="378"/>
      <c r="T82" s="244">
        <v>1800</v>
      </c>
      <c r="U82" s="244">
        <f t="shared" si="9"/>
        <v>92.709077719472504</v>
      </c>
      <c r="V82" s="244">
        <f t="shared" si="10"/>
        <v>80.183044023018866</v>
      </c>
      <c r="W82" s="244">
        <f t="shared" si="11"/>
        <v>70.218273632228446</v>
      </c>
      <c r="X82" s="244">
        <f t="shared" si="0"/>
        <v>2667.9680352594082</v>
      </c>
      <c r="Y82" s="244">
        <f t="shared" si="1"/>
        <v>2307.4957025301042</v>
      </c>
      <c r="Z82" s="244">
        <f t="shared" si="2"/>
        <v>2020.7310238675293</v>
      </c>
      <c r="AA82" s="244">
        <f t="shared" si="13"/>
        <v>3510.7269853496487</v>
      </c>
      <c r="AB82" s="244">
        <f t="shared" si="14"/>
        <v>3271.4649796635672</v>
      </c>
      <c r="AC82" s="244">
        <f t="shared" si="15"/>
        <v>3072.2478802604105</v>
      </c>
      <c r="AD82" s="446">
        <f t="shared" si="4"/>
        <v>2877.7851111111108</v>
      </c>
      <c r="AE82" s="244">
        <f t="shared" si="16"/>
        <v>3645.1944740740723</v>
      </c>
      <c r="AF82" s="244">
        <f t="shared" si="5"/>
        <v>1613.6903439068999</v>
      </c>
      <c r="AG82" s="244">
        <f t="shared" si="6"/>
        <v>1395.6627233044987</v>
      </c>
      <c r="AH82" s="244">
        <f t="shared" si="7"/>
        <v>1222.2163450811668</v>
      </c>
      <c r="AI82" s="244">
        <f t="shared" si="17"/>
        <v>2123.4235798485784</v>
      </c>
      <c r="AJ82" s="244">
        <f t="shared" si="18"/>
        <v>1978.7086570545769</v>
      </c>
      <c r="AK82" s="244">
        <f t="shared" si="19"/>
        <v>1858.2144437058932</v>
      </c>
      <c r="AL82" s="447">
        <f t="shared" si="8"/>
        <v>1740.5958333333331</v>
      </c>
      <c r="AM82" s="244">
        <f t="shared" si="12"/>
        <v>2204.7547222222224</v>
      </c>
      <c r="AN82" s="244"/>
    </row>
    <row r="83" spans="1:42" x14ac:dyDescent="0.2">
      <c r="A83" s="117"/>
      <c r="B83" s="162"/>
      <c r="C83" s="132"/>
      <c r="D83" s="132"/>
      <c r="E83" s="132"/>
      <c r="F83" s="132"/>
      <c r="G83" s="428"/>
      <c r="H83" s="317"/>
      <c r="I83" s="244"/>
      <c r="J83" s="252"/>
      <c r="K83" s="252">
        <v>100</v>
      </c>
      <c r="L83" s="252">
        <f t="shared" ref="L83:L92" si="21">100*EXP($L$80*$K83)</f>
        <v>99.580306560260738</v>
      </c>
      <c r="M83" s="252">
        <f t="shared" ref="M83:M93" si="22">100*EXP($M$80*$K83)</f>
        <v>98.780507297700453</v>
      </c>
      <c r="N83" s="252">
        <f t="shared" ref="N83:N93" si="23">100*EXP($N$80*$K83)</f>
        <v>98.054934215554397</v>
      </c>
      <c r="O83" s="252"/>
      <c r="P83" s="378"/>
      <c r="Q83" s="378"/>
      <c r="R83" s="378"/>
      <c r="T83" s="244">
        <v>1900</v>
      </c>
      <c r="U83" s="244">
        <f t="shared" si="9"/>
        <v>92.319983802241111</v>
      </c>
      <c r="V83" s="244">
        <f t="shared" si="10"/>
        <v>79.205217652676524</v>
      </c>
      <c r="W83" s="244">
        <f t="shared" si="11"/>
        <v>68.852482017379586</v>
      </c>
      <c r="X83" s="244">
        <f t="shared" si="0"/>
        <v>2656.7707484410839</v>
      </c>
      <c r="Y83" s="244">
        <f t="shared" si="1"/>
        <v>2279.3559608318742</v>
      </c>
      <c r="Z83" s="244">
        <f t="shared" si="2"/>
        <v>1981.4264761266049</v>
      </c>
      <c r="AA83" s="244">
        <f t="shared" si="13"/>
        <v>3687.8450352457207</v>
      </c>
      <c r="AB83" s="244">
        <f t="shared" si="14"/>
        <v>3423.4220437190256</v>
      </c>
      <c r="AC83" s="244">
        <f t="shared" si="15"/>
        <v>3204.3429786688507</v>
      </c>
      <c r="AD83" s="446">
        <f t="shared" si="4"/>
        <v>2877.7851111111108</v>
      </c>
      <c r="AE83" s="244">
        <f t="shared" si="16"/>
        <v>3837.0468148148129</v>
      </c>
      <c r="AF83" s="244">
        <f t="shared" si="5"/>
        <v>1606.9177913958169</v>
      </c>
      <c r="AG83" s="244">
        <f t="shared" si="6"/>
        <v>1378.6427182450852</v>
      </c>
      <c r="AH83" s="244">
        <f t="shared" si="7"/>
        <v>1198.4434331410914</v>
      </c>
      <c r="AI83" s="244">
        <f t="shared" si="17"/>
        <v>2230.5514326082994</v>
      </c>
      <c r="AJ83" s="244">
        <f t="shared" si="18"/>
        <v>2070.6181716042493</v>
      </c>
      <c r="AK83" s="244">
        <f t="shared" si="19"/>
        <v>1938.1106725819659</v>
      </c>
      <c r="AL83" s="447">
        <f t="shared" si="8"/>
        <v>1740.5958333333331</v>
      </c>
      <c r="AM83" s="244">
        <f t="shared" si="12"/>
        <v>2320.7944444444447</v>
      </c>
      <c r="AN83" s="244"/>
    </row>
    <row r="84" spans="1:42" x14ac:dyDescent="0.2">
      <c r="A84" s="117"/>
      <c r="B84" s="162"/>
      <c r="C84" s="132"/>
      <c r="D84" s="132"/>
      <c r="E84" s="132"/>
      <c r="F84" s="132"/>
      <c r="G84" s="428"/>
      <c r="H84" s="317"/>
      <c r="I84" s="244"/>
      <c r="J84" s="252"/>
      <c r="K84" s="252">
        <v>500</v>
      </c>
      <c r="L84" s="252">
        <f t="shared" si="21"/>
        <v>97.91907328875385</v>
      </c>
      <c r="M84" s="252">
        <f t="shared" si="22"/>
        <v>94.049450181132229</v>
      </c>
      <c r="N84" s="252">
        <f t="shared" si="23"/>
        <v>90.645711725781879</v>
      </c>
      <c r="O84" s="252"/>
      <c r="P84" s="378"/>
      <c r="Q84" s="378"/>
      <c r="R84" s="378"/>
      <c r="T84" s="244">
        <v>2000</v>
      </c>
      <c r="U84" s="244">
        <f t="shared" si="9"/>
        <v>91.932522886654752</v>
      </c>
      <c r="V84" s="244">
        <f t="shared" si="10"/>
        <v>78.239315803561666</v>
      </c>
      <c r="W84" s="244">
        <f t="shared" si="11"/>
        <v>67.513255947917983</v>
      </c>
      <c r="X84" s="244">
        <f t="shared" si="0"/>
        <v>2645.6204559009652</v>
      </c>
      <c r="Y84" s="244">
        <f t="shared" si="1"/>
        <v>2251.5593812300999</v>
      </c>
      <c r="Z84" s="244">
        <f t="shared" si="2"/>
        <v>1942.8864276955201</v>
      </c>
      <c r="AA84" s="244">
        <f t="shared" si="13"/>
        <v>3864.2197323057849</v>
      </c>
      <c r="AB84" s="244">
        <f t="shared" si="14"/>
        <v>3573.5260024676991</v>
      </c>
      <c r="AC84" s="244">
        <f t="shared" si="15"/>
        <v>3333.8687405152186</v>
      </c>
      <c r="AD84" s="446">
        <f t="shared" si="4"/>
        <v>2877.7851111111108</v>
      </c>
      <c r="AE84" s="244">
        <f t="shared" si="16"/>
        <v>4028.8991555555535</v>
      </c>
      <c r="AF84" s="244">
        <f t="shared" si="5"/>
        <v>1600.1736628433252</v>
      </c>
      <c r="AG84" s="244">
        <f t="shared" si="6"/>
        <v>1361.8302709053023</v>
      </c>
      <c r="AH84" s="244">
        <f t="shared" si="7"/>
        <v>1175.1329199771289</v>
      </c>
      <c r="AI84" s="244">
        <f t="shared" si="17"/>
        <v>2337.2296767978542</v>
      </c>
      <c r="AJ84" s="244">
        <f t="shared" si="18"/>
        <v>2161.4068563312694</v>
      </c>
      <c r="AK84" s="244">
        <f t="shared" si="19"/>
        <v>2016.4528672471079</v>
      </c>
      <c r="AL84" s="447">
        <f t="shared" si="8"/>
        <v>1740.5958333333331</v>
      </c>
      <c r="AM84" s="244">
        <f>IF(T84&lt;$Y$58*$Z$57,AM83+AL84*100/1000*$AB$59,AM83)</f>
        <v>2436.834166666667</v>
      </c>
      <c r="AN84" s="244"/>
    </row>
    <row r="85" spans="1:42" x14ac:dyDescent="0.2">
      <c r="A85" s="117"/>
      <c r="B85" s="162"/>
      <c r="C85" s="132"/>
      <c r="D85" s="132"/>
      <c r="E85" s="132"/>
      <c r="F85" s="132"/>
      <c r="G85" s="428"/>
      <c r="H85" s="317"/>
      <c r="I85" s="244"/>
      <c r="J85" s="252"/>
      <c r="K85" s="252">
        <v>750</v>
      </c>
      <c r="L85" s="252">
        <f t="shared" si="21"/>
        <v>96.894905155563166</v>
      </c>
      <c r="M85" s="252">
        <f t="shared" si="22"/>
        <v>91.208306370786829</v>
      </c>
      <c r="N85" s="252">
        <f t="shared" si="23"/>
        <v>86.302006867902648</v>
      </c>
      <c r="O85" s="252"/>
      <c r="P85" s="378"/>
      <c r="Q85" s="378"/>
      <c r="R85" s="378"/>
      <c r="T85" s="244">
        <v>2100</v>
      </c>
      <c r="U85" s="244">
        <f t="shared" si="9"/>
        <v>91.546688119112673</v>
      </c>
      <c r="V85" s="244">
        <f t="shared" si="10"/>
        <v>77.285193057008144</v>
      </c>
      <c r="W85" s="244">
        <f t="shared" si="11"/>
        <v>66.200078706509842</v>
      </c>
      <c r="X85" s="244">
        <f t="shared" si="0"/>
        <v>2634.5169604071484</v>
      </c>
      <c r="Y85" s="244">
        <f t="shared" si="1"/>
        <v>2224.1017788880581</v>
      </c>
      <c r="Z85" s="244">
        <f t="shared" si="2"/>
        <v>1905.0960085597771</v>
      </c>
      <c r="AA85" s="244">
        <f t="shared" si="13"/>
        <v>4039.854196332928</v>
      </c>
      <c r="AB85" s="244">
        <f t="shared" si="14"/>
        <v>3721.7994543935697</v>
      </c>
      <c r="AC85" s="244">
        <f t="shared" si="15"/>
        <v>3460.8751410858704</v>
      </c>
      <c r="AD85" s="446">
        <f t="shared" si="4"/>
        <v>2877.7851111111108</v>
      </c>
      <c r="AE85" s="244">
        <f t="shared" si="16"/>
        <v>4220.7514962962941</v>
      </c>
      <c r="AF85" s="244">
        <f t="shared" si="5"/>
        <v>1593.4578389559365</v>
      </c>
      <c r="AG85" s="244">
        <f t="shared" si="6"/>
        <v>1345.2228501339061</v>
      </c>
      <c r="AH85" s="244">
        <f t="shared" si="7"/>
        <v>1152.2758116288974</v>
      </c>
      <c r="AI85" s="244">
        <f t="shared" si="17"/>
        <v>2443.4601993949168</v>
      </c>
      <c r="AJ85" s="244">
        <f t="shared" si="18"/>
        <v>2251.0883796735297</v>
      </c>
      <c r="AK85" s="244">
        <f t="shared" si="19"/>
        <v>2093.2712546890343</v>
      </c>
      <c r="AL85" s="447">
        <f t="shared" si="8"/>
        <v>1740.5958333333331</v>
      </c>
      <c r="AM85" s="244">
        <f t="shared" ref="AM85:AM148" si="24">IF(T85&lt;$Y$58*$Z$57,AM84+AL85*100/1000*$AB$59,AM84)</f>
        <v>2552.8738888888893</v>
      </c>
      <c r="AN85" s="244"/>
    </row>
    <row r="86" spans="1:42" x14ac:dyDescent="0.2">
      <c r="A86" s="117"/>
      <c r="B86" s="162"/>
      <c r="C86" s="132"/>
      <c r="D86" s="132"/>
      <c r="E86" s="132"/>
      <c r="F86" s="255"/>
      <c r="G86" s="428"/>
      <c r="H86" s="317"/>
      <c r="I86" s="384"/>
      <c r="J86" s="252"/>
      <c r="K86" s="252">
        <v>1000</v>
      </c>
      <c r="L86" s="252">
        <f t="shared" si="21"/>
        <v>95.881449137283454</v>
      </c>
      <c r="M86" s="252">
        <f t="shared" si="22"/>
        <v>88.452990793732738</v>
      </c>
      <c r="N86" s="252">
        <f t="shared" si="23"/>
        <v>82.16645054273549</v>
      </c>
      <c r="O86" s="252"/>
      <c r="P86" s="378"/>
      <c r="Q86" s="378"/>
      <c r="R86" s="378"/>
      <c r="T86" s="244">
        <v>2200</v>
      </c>
      <c r="U86" s="244">
        <f t="shared" si="9"/>
        <v>91.162472674778201</v>
      </c>
      <c r="V86" s="244">
        <f t="shared" si="10"/>
        <v>76.342705767719806</v>
      </c>
      <c r="W86" s="244">
        <f t="shared" si="11"/>
        <v>64.912443626313461</v>
      </c>
      <c r="X86" s="244">
        <f t="shared" si="0"/>
        <v>2623.4600655555023</v>
      </c>
      <c r="Y86" s="244">
        <f t="shared" si="1"/>
        <v>2196.9790200028037</v>
      </c>
      <c r="Z86" s="244">
        <f t="shared" si="2"/>
        <v>1868.040637936442</v>
      </c>
      <c r="AA86" s="244">
        <f t="shared" si="13"/>
        <v>4214.7515340366281</v>
      </c>
      <c r="AB86" s="244">
        <f t="shared" si="14"/>
        <v>3868.2647223937565</v>
      </c>
      <c r="AC86" s="244">
        <f t="shared" si="15"/>
        <v>3585.4111836149664</v>
      </c>
      <c r="AD86" s="446">
        <f t="shared" si="4"/>
        <v>2877.7851111111108</v>
      </c>
      <c r="AE86" s="244">
        <f t="shared" si="16"/>
        <v>4412.6038370370352</v>
      </c>
      <c r="AF86" s="244">
        <f t="shared" si="5"/>
        <v>1586.7702009408279</v>
      </c>
      <c r="AG86" s="244">
        <f t="shared" si="6"/>
        <v>1328.8179556468572</v>
      </c>
      <c r="AH86" s="244">
        <f t="shared" si="7"/>
        <v>1129.8632890744607</v>
      </c>
      <c r="AI86" s="244">
        <f t="shared" si="17"/>
        <v>2549.2448794576385</v>
      </c>
      <c r="AJ86" s="244">
        <f t="shared" si="18"/>
        <v>2339.6762433833201</v>
      </c>
      <c r="AK86" s="244">
        <f t="shared" si="19"/>
        <v>2168.595473960665</v>
      </c>
      <c r="AL86" s="447">
        <f t="shared" si="8"/>
        <v>1740.5958333333331</v>
      </c>
      <c r="AM86" s="244">
        <f t="shared" si="24"/>
        <v>2668.9136111111115</v>
      </c>
      <c r="AN86" s="244"/>
    </row>
    <row r="87" spans="1:42" x14ac:dyDescent="0.2">
      <c r="A87" s="117"/>
      <c r="B87" s="162"/>
      <c r="C87" s="132"/>
      <c r="D87" s="132"/>
      <c r="E87" s="132"/>
      <c r="F87" s="255"/>
      <c r="G87" s="428"/>
      <c r="H87" s="317"/>
      <c r="I87" s="384"/>
      <c r="J87" s="252"/>
      <c r="K87" s="252">
        <v>1500</v>
      </c>
      <c r="L87" s="252">
        <f t="shared" si="21"/>
        <v>93.886226451055833</v>
      </c>
      <c r="M87" s="252">
        <f t="shared" si="22"/>
        <v>83.189551510273134</v>
      </c>
      <c r="N87" s="252">
        <f t="shared" si="23"/>
        <v>74.480363894275143</v>
      </c>
      <c r="O87" s="252"/>
      <c r="P87" s="378"/>
      <c r="Q87" s="378"/>
      <c r="R87" s="378"/>
      <c r="T87" s="244">
        <v>2300</v>
      </c>
      <c r="U87" s="244">
        <f t="shared" si="9"/>
        <v>90.779869757458059</v>
      </c>
      <c r="V87" s="244">
        <f t="shared" si="10"/>
        <v>75.411712042144458</v>
      </c>
      <c r="W87" s="244">
        <f t="shared" si="11"/>
        <v>63.649853895490502</v>
      </c>
      <c r="X87" s="244">
        <f t="shared" si="0"/>
        <v>2612.4495757661862</v>
      </c>
      <c r="Y87" s="244">
        <f t="shared" si="1"/>
        <v>2170.1870211828182</v>
      </c>
      <c r="Z87" s="244">
        <f t="shared" si="2"/>
        <v>1831.7060186484011</v>
      </c>
      <c r="AA87" s="244">
        <f t="shared" si="13"/>
        <v>4388.9148390877072</v>
      </c>
      <c r="AB87" s="244">
        <f t="shared" si="14"/>
        <v>4012.9438571392775</v>
      </c>
      <c r="AC87" s="244">
        <f t="shared" si="15"/>
        <v>3707.5249181915265</v>
      </c>
      <c r="AD87" s="446">
        <f t="shared" si="4"/>
        <v>2877.7851111111108</v>
      </c>
      <c r="AE87" s="244">
        <f t="shared" si="16"/>
        <v>4604.4561777777762</v>
      </c>
      <c r="AF87" s="244">
        <f t="shared" si="5"/>
        <v>1580.1106305037415</v>
      </c>
      <c r="AG87" s="244">
        <f t="shared" si="6"/>
        <v>1312.6131176508977</v>
      </c>
      <c r="AH87" s="244">
        <f t="shared" si="7"/>
        <v>1107.8867048276618</v>
      </c>
      <c r="AI87" s="244">
        <f t="shared" si="17"/>
        <v>2654.5855881578877</v>
      </c>
      <c r="AJ87" s="244">
        <f t="shared" si="18"/>
        <v>2427.1837845600467</v>
      </c>
      <c r="AK87" s="244">
        <f t="shared" si="19"/>
        <v>2242.4545876158427</v>
      </c>
      <c r="AL87" s="447">
        <f t="shared" si="8"/>
        <v>1740.5958333333331</v>
      </c>
      <c r="AM87" s="244">
        <f t="shared" si="24"/>
        <v>2784.9533333333338</v>
      </c>
      <c r="AN87" s="244"/>
    </row>
    <row r="88" spans="1:42" x14ac:dyDescent="0.2">
      <c r="A88" s="117"/>
      <c r="B88" s="162"/>
      <c r="C88" s="132"/>
      <c r="D88" s="132"/>
      <c r="E88" s="132"/>
      <c r="F88" s="132"/>
      <c r="G88" s="428"/>
      <c r="H88" s="317"/>
      <c r="I88" s="384"/>
      <c r="J88" s="252"/>
      <c r="K88" s="252">
        <v>2000</v>
      </c>
      <c r="L88" s="252">
        <f t="shared" si="21"/>
        <v>91.932522886654752</v>
      </c>
      <c r="M88" s="252">
        <f t="shared" si="22"/>
        <v>78.239315803561666</v>
      </c>
      <c r="N88" s="252">
        <f t="shared" si="23"/>
        <v>67.513255947917983</v>
      </c>
      <c r="O88" s="252"/>
      <c r="P88" s="378"/>
      <c r="Q88" s="378"/>
      <c r="R88" s="378"/>
      <c r="T88" s="244">
        <v>2400</v>
      </c>
      <c r="U88" s="244">
        <f t="shared" si="9"/>
        <v>90.398872599482146</v>
      </c>
      <c r="V88" s="244">
        <f t="shared" si="10"/>
        <v>74.492071717111358</v>
      </c>
      <c r="W88" s="244">
        <f t="shared" si="11"/>
        <v>62.411822365519711</v>
      </c>
      <c r="X88" s="244">
        <f t="shared" si="0"/>
        <v>2601.4852962801988</v>
      </c>
      <c r="Y88" s="244">
        <f t="shared" si="1"/>
        <v>2143.7217488332417</v>
      </c>
      <c r="Z88" s="244">
        <f t="shared" si="2"/>
        <v>1796.0781316080404</v>
      </c>
      <c r="AA88" s="244">
        <f t="shared" si="13"/>
        <v>4562.3471921730534</v>
      </c>
      <c r="AB88" s="244">
        <f t="shared" si="14"/>
        <v>4155.8586403948266</v>
      </c>
      <c r="AC88" s="244">
        <f t="shared" si="15"/>
        <v>3827.2634602987291</v>
      </c>
      <c r="AD88" s="446">
        <f t="shared" si="4"/>
        <v>2877.7851111111108</v>
      </c>
      <c r="AE88" s="244">
        <f t="shared" si="16"/>
        <v>4796.3085185185173</v>
      </c>
      <c r="AF88" s="244">
        <f t="shared" si="5"/>
        <v>1573.4790098468945</v>
      </c>
      <c r="AG88" s="244">
        <f t="shared" si="6"/>
        <v>1296.6058964717186</v>
      </c>
      <c r="AH88" s="244">
        <f t="shared" si="7"/>
        <v>1086.3375796016373</v>
      </c>
      <c r="AI88" s="244">
        <f t="shared" si="17"/>
        <v>2759.4841888143474</v>
      </c>
      <c r="AJ88" s="244">
        <f t="shared" si="18"/>
        <v>2513.6241776581614</v>
      </c>
      <c r="AK88" s="244">
        <f t="shared" si="19"/>
        <v>2314.8770929226184</v>
      </c>
      <c r="AL88" s="447">
        <f t="shared" si="8"/>
        <v>1740.5958333333331</v>
      </c>
      <c r="AM88" s="244">
        <f t="shared" si="24"/>
        <v>2900.9930555555561</v>
      </c>
      <c r="AN88" s="244"/>
    </row>
    <row r="89" spans="1:42" x14ac:dyDescent="0.2">
      <c r="A89" s="117"/>
      <c r="B89" s="282" t="s">
        <v>1067</v>
      </c>
      <c r="C89" s="283"/>
      <c r="D89" s="283"/>
      <c r="E89" s="283"/>
      <c r="F89" s="283"/>
      <c r="G89" s="318"/>
      <c r="H89" s="319"/>
      <c r="I89" s="384"/>
      <c r="J89" s="252"/>
      <c r="K89" s="252"/>
      <c r="L89" s="252"/>
      <c r="M89" s="252"/>
      <c r="N89" s="252"/>
      <c r="O89" s="252"/>
      <c r="P89" s="378"/>
      <c r="Q89" s="378"/>
      <c r="R89" s="378"/>
      <c r="T89" s="244">
        <v>2500</v>
      </c>
      <c r="U89" s="244">
        <f t="shared" si="9"/>
        <v>90.019474461583869</v>
      </c>
      <c r="V89" s="244">
        <f t="shared" si="10"/>
        <v>73.583646338729451</v>
      </c>
      <c r="W89" s="244">
        <f t="shared" si="11"/>
        <v>61.197871363239017</v>
      </c>
      <c r="X89" s="244">
        <f t="shared" si="0"/>
        <v>2590.567033155929</v>
      </c>
      <c r="Y89" s="244">
        <f t="shared" si="1"/>
        <v>2117.5792185486121</v>
      </c>
      <c r="Z89" s="244">
        <f t="shared" si="2"/>
        <v>1761.1432304082225</v>
      </c>
      <c r="AA89" s="244">
        <f t="shared" si="13"/>
        <v>4735.0516610501154</v>
      </c>
      <c r="AB89" s="244">
        <f t="shared" si="14"/>
        <v>4297.0305882980674</v>
      </c>
      <c r="AC89" s="244">
        <f t="shared" si="15"/>
        <v>3944.6730089926104</v>
      </c>
      <c r="AD89" s="446">
        <f t="shared" si="4"/>
        <v>2877.7851111111108</v>
      </c>
      <c r="AE89" s="244">
        <f t="shared" si="16"/>
        <v>4988.1608592592584</v>
      </c>
      <c r="AF89" s="244">
        <f t="shared" si="5"/>
        <v>1566.8752216668927</v>
      </c>
      <c r="AG89" s="244">
        <f t="shared" si="6"/>
        <v>1280.7938821866605</v>
      </c>
      <c r="AH89" s="244">
        <f t="shared" si="7"/>
        <v>1065.2075990372314</v>
      </c>
      <c r="AI89" s="244">
        <f t="shared" si="17"/>
        <v>2863.9425369254736</v>
      </c>
      <c r="AJ89" s="244">
        <f t="shared" si="18"/>
        <v>2599.0104364706053</v>
      </c>
      <c r="AK89" s="244">
        <f t="shared" si="19"/>
        <v>2385.8909328584336</v>
      </c>
      <c r="AL89" s="447">
        <f t="shared" si="8"/>
        <v>1740.5958333333331</v>
      </c>
      <c r="AM89" s="244">
        <f t="shared" si="24"/>
        <v>3017.0327777777784</v>
      </c>
      <c r="AN89" s="244"/>
    </row>
    <row r="90" spans="1:42" s="241" customFormat="1" x14ac:dyDescent="0.2">
      <c r="A90" s="117"/>
      <c r="B90" s="117"/>
      <c r="C90" s="117"/>
      <c r="D90" s="117"/>
      <c r="E90" s="117"/>
      <c r="F90" s="117"/>
      <c r="G90" s="320"/>
      <c r="H90" s="320"/>
      <c r="I90" s="320"/>
      <c r="J90" s="252"/>
      <c r="K90" s="252"/>
      <c r="L90" s="252"/>
      <c r="M90" s="252"/>
      <c r="N90" s="252"/>
      <c r="O90" s="252"/>
      <c r="P90" s="378"/>
      <c r="Q90" s="378"/>
      <c r="R90" s="378"/>
      <c r="S90" s="436"/>
      <c r="T90" s="244">
        <v>2600</v>
      </c>
      <c r="U90" s="244">
        <f t="shared" si="9"/>
        <v>89.641668632780849</v>
      </c>
      <c r="V90" s="244">
        <f t="shared" si="10"/>
        <v>72.686299141542733</v>
      </c>
      <c r="W90" s="244">
        <f t="shared" si="11"/>
        <v>60.007532506543626</v>
      </c>
      <c r="X90" s="244">
        <f t="shared" si="0"/>
        <v>2579.6945932657263</v>
      </c>
      <c r="Y90" s="244">
        <f t="shared" si="1"/>
        <v>2091.755494513</v>
      </c>
      <c r="Z90" s="244">
        <f t="shared" si="2"/>
        <v>1726.8878360184724</v>
      </c>
      <c r="AA90" s="244">
        <f t="shared" si="13"/>
        <v>4907.0313006011638</v>
      </c>
      <c r="AB90" s="244">
        <f t="shared" si="14"/>
        <v>4436.4809545989337</v>
      </c>
      <c r="AC90" s="244">
        <f t="shared" si="15"/>
        <v>4059.7988647271754</v>
      </c>
      <c r="AD90" s="446">
        <f t="shared" si="4"/>
        <v>2877.7851111111108</v>
      </c>
      <c r="AE90" s="244">
        <f t="shared" si="16"/>
        <v>5180.0131999999994</v>
      </c>
      <c r="AF90" s="244">
        <f t="shared" si="5"/>
        <v>1560.2991491526568</v>
      </c>
      <c r="AG90" s="244">
        <f t="shared" si="6"/>
        <v>1265.174694261895</v>
      </c>
      <c r="AH90" s="244">
        <f t="shared" si="7"/>
        <v>1044.4886104950438</v>
      </c>
      <c r="AI90" s="244">
        <f t="shared" si="17"/>
        <v>2967.9624802023172</v>
      </c>
      <c r="AJ90" s="244">
        <f t="shared" si="18"/>
        <v>2683.3554160880649</v>
      </c>
      <c r="AK90" s="244">
        <f t="shared" si="19"/>
        <v>2455.5235068914367</v>
      </c>
      <c r="AL90" s="447">
        <f t="shared" si="8"/>
        <v>1740.5958333333331</v>
      </c>
      <c r="AM90" s="244">
        <f t="shared" si="24"/>
        <v>3133.0725000000007</v>
      </c>
      <c r="AN90" s="244"/>
      <c r="AO90" s="252"/>
      <c r="AP90" s="252"/>
    </row>
    <row r="91" spans="1:42" x14ac:dyDescent="0.2">
      <c r="A91" s="117"/>
      <c r="B91" s="643" t="s">
        <v>535</v>
      </c>
      <c r="C91" s="644"/>
      <c r="D91" s="644"/>
      <c r="E91" s="644"/>
      <c r="F91" s="645"/>
      <c r="G91" s="117"/>
      <c r="H91" s="383"/>
      <c r="I91" s="383"/>
      <c r="J91" s="509" t="b">
        <v>1</v>
      </c>
      <c r="K91" s="252">
        <v>5000</v>
      </c>
      <c r="L91" s="252">
        <f t="shared" si="21"/>
        <v>81.035057823397509</v>
      </c>
      <c r="M91" s="252">
        <f t="shared" si="22"/>
        <v>54.145530085032114</v>
      </c>
      <c r="N91" s="252">
        <f t="shared" si="23"/>
        <v>37.451794593915501</v>
      </c>
      <c r="O91" s="252"/>
      <c r="P91" s="378"/>
      <c r="Q91" s="378"/>
      <c r="R91" s="378"/>
      <c r="T91" s="244">
        <v>2700</v>
      </c>
      <c r="U91" s="244">
        <f t="shared" si="9"/>
        <v>89.265448430256257</v>
      </c>
      <c r="V91" s="244">
        <f t="shared" si="10"/>
        <v>71.799895027940011</v>
      </c>
      <c r="W91" s="244">
        <f t="shared" si="11"/>
        <v>58.840346523668771</v>
      </c>
      <c r="X91" s="244">
        <f t="shared" si="0"/>
        <v>2568.8677842924812</v>
      </c>
      <c r="Y91" s="244">
        <f t="shared" si="1"/>
        <v>2066.2466889074644</v>
      </c>
      <c r="Z91" s="244">
        <f t="shared" si="2"/>
        <v>1693.2987315843241</v>
      </c>
      <c r="AA91" s="244">
        <f t="shared" si="13"/>
        <v>5078.2891528873297</v>
      </c>
      <c r="AB91" s="244">
        <f t="shared" si="14"/>
        <v>4574.230733859431</v>
      </c>
      <c r="AC91" s="244">
        <f t="shared" si="15"/>
        <v>4172.6854468327974</v>
      </c>
      <c r="AD91" s="446">
        <f t="shared" si="4"/>
        <v>2877.7851111111108</v>
      </c>
      <c r="AE91" s="244">
        <f t="shared" si="16"/>
        <v>5371.8655407407405</v>
      </c>
      <c r="AF91" s="244">
        <f t="shared" si="5"/>
        <v>1553.7506759833557</v>
      </c>
      <c r="AG91" s="244">
        <f t="shared" si="6"/>
        <v>1249.7459811940307</v>
      </c>
      <c r="AH91" s="244">
        <f t="shared" si="7"/>
        <v>1024.1726199098732</v>
      </c>
      <c r="AI91" s="244">
        <f t="shared" si="17"/>
        <v>3071.5458586012078</v>
      </c>
      <c r="AJ91" s="244">
        <f t="shared" si="18"/>
        <v>2766.6718148343334</v>
      </c>
      <c r="AK91" s="244">
        <f t="shared" si="19"/>
        <v>2523.801681552095</v>
      </c>
      <c r="AL91" s="447">
        <f t="shared" si="8"/>
        <v>1740.5958333333331</v>
      </c>
      <c r="AM91" s="244">
        <f t="shared" si="24"/>
        <v>3249.112222222223</v>
      </c>
      <c r="AN91" s="244"/>
    </row>
    <row r="92" spans="1:42" x14ac:dyDescent="0.2">
      <c r="A92" s="117"/>
      <c r="B92" s="117"/>
      <c r="C92" s="117"/>
      <c r="D92" s="117"/>
      <c r="E92" s="117"/>
      <c r="F92" s="117"/>
      <c r="G92" s="117"/>
      <c r="H92" s="383"/>
      <c r="I92" s="383"/>
      <c r="J92" s="252"/>
      <c r="K92" s="252">
        <v>10000</v>
      </c>
      <c r="L92" s="252">
        <f t="shared" si="21"/>
        <v>65.666805964413783</v>
      </c>
      <c r="M92" s="252">
        <f t="shared" si="22"/>
        <v>29.317384281891172</v>
      </c>
      <c r="N92" s="252">
        <f t="shared" si="23"/>
        <v>14.026369183048381</v>
      </c>
      <c r="O92" s="252"/>
      <c r="P92" s="378"/>
      <c r="Q92" s="378"/>
      <c r="R92" s="378"/>
      <c r="T92" s="244">
        <v>2800</v>
      </c>
      <c r="U92" s="244">
        <f t="shared" si="9"/>
        <v>88.890807199240626</v>
      </c>
      <c r="V92" s="244">
        <f t="shared" si="10"/>
        <v>70.924300547815548</v>
      </c>
      <c r="W92" s="244">
        <f t="shared" si="11"/>
        <v>57.69586307598766</v>
      </c>
      <c r="X92" s="244">
        <f t="shared" si="0"/>
        <v>2558.08641472623</v>
      </c>
      <c r="Y92" s="244">
        <f t="shared" si="1"/>
        <v>2041.0489613247319</v>
      </c>
      <c r="Z92" s="244">
        <f t="shared" si="2"/>
        <v>1660.3629573278258</v>
      </c>
      <c r="AA92" s="244">
        <f t="shared" si="13"/>
        <v>5248.8282472024121</v>
      </c>
      <c r="AB92" s="244">
        <f t="shared" si="14"/>
        <v>4710.3006646144131</v>
      </c>
      <c r="AC92" s="244">
        <f t="shared" si="15"/>
        <v>4283.3763106546521</v>
      </c>
      <c r="AD92" s="446">
        <f t="shared" si="4"/>
        <v>2877.7851111111108</v>
      </c>
      <c r="AE92" s="244">
        <f t="shared" si="16"/>
        <v>5563.7178814814815</v>
      </c>
      <c r="AF92" s="244">
        <f t="shared" si="5"/>
        <v>1547.2296863263487</v>
      </c>
      <c r="AG92" s="244">
        <f t="shared" si="6"/>
        <v>1234.5054201560879</v>
      </c>
      <c r="AH92" s="244">
        <f t="shared" si="7"/>
        <v>1004.2517887063462</v>
      </c>
      <c r="AI92" s="244">
        <f t="shared" si="17"/>
        <v>3174.6945043562978</v>
      </c>
      <c r="AJ92" s="244">
        <f t="shared" si="18"/>
        <v>2848.9721761780725</v>
      </c>
      <c r="AK92" s="244">
        <f t="shared" si="19"/>
        <v>2590.7518007991848</v>
      </c>
      <c r="AL92" s="447">
        <f t="shared" si="8"/>
        <v>1740.5958333333331</v>
      </c>
      <c r="AM92" s="244">
        <f t="shared" si="24"/>
        <v>3365.1519444444452</v>
      </c>
      <c r="AN92" s="244"/>
    </row>
    <row r="93" spans="1:42" x14ac:dyDescent="0.2">
      <c r="A93" s="117"/>
      <c r="B93" s="650" t="s">
        <v>540</v>
      </c>
      <c r="C93" s="650"/>
      <c r="D93" s="642" t="s">
        <v>1001</v>
      </c>
      <c r="E93" s="642"/>
      <c r="F93" s="642"/>
      <c r="G93" s="642"/>
      <c r="H93" s="642"/>
      <c r="I93" s="642"/>
      <c r="J93" s="252"/>
      <c r="K93" s="252">
        <v>30000</v>
      </c>
      <c r="L93" s="252">
        <f>100*EXP($L$80*$K93)</f>
        <v>28.316376496887468</v>
      </c>
      <c r="M93" s="252">
        <f t="shared" si="22"/>
        <v>2.5198556266281305</v>
      </c>
      <c r="N93" s="252">
        <f t="shared" si="23"/>
        <v>0.27595343019880497</v>
      </c>
      <c r="O93" s="252"/>
      <c r="P93" s="378"/>
      <c r="Q93" s="378"/>
      <c r="R93" s="378"/>
      <c r="T93" s="244">
        <v>2900</v>
      </c>
      <c r="U93" s="244">
        <f t="shared" si="9"/>
        <v>88.517738312894139</v>
      </c>
      <c r="V93" s="244">
        <f t="shared" si="10"/>
        <v>70.059383878477945</v>
      </c>
      <c r="W93" s="244">
        <f t="shared" si="11"/>
        <v>56.573640584256047</v>
      </c>
      <c r="X93" s="244">
        <f t="shared" si="0"/>
        <v>2547.350293860763</v>
      </c>
      <c r="Y93" s="244">
        <f t="shared" si="1"/>
        <v>2016.1585181910164</v>
      </c>
      <c r="Z93" s="244">
        <f t="shared" si="2"/>
        <v>1628.0678055472335</v>
      </c>
      <c r="AA93" s="244">
        <f t="shared" si="13"/>
        <v>5418.6516001264627</v>
      </c>
      <c r="AB93" s="244">
        <f t="shared" si="14"/>
        <v>4844.7112324938144</v>
      </c>
      <c r="AC93" s="244">
        <f t="shared" si="15"/>
        <v>4391.9141643578014</v>
      </c>
      <c r="AD93" s="446">
        <f t="shared" si="4"/>
        <v>2877.7851111111108</v>
      </c>
      <c r="AE93" s="244">
        <f t="shared" si="16"/>
        <v>5755.5702222222226</v>
      </c>
      <c r="AF93" s="244">
        <f t="shared" si="5"/>
        <v>1540.7360648351387</v>
      </c>
      <c r="AG93" s="244">
        <f t="shared" si="6"/>
        <v>1219.450716647792</v>
      </c>
      <c r="AH93" s="244">
        <f t="shared" si="7"/>
        <v>984.71843077453627</v>
      </c>
      <c r="AI93" s="244">
        <f t="shared" si="17"/>
        <v>3277.4102420119739</v>
      </c>
      <c r="AJ93" s="244">
        <f t="shared" si="18"/>
        <v>2930.2688906212584</v>
      </c>
      <c r="AK93" s="244">
        <f t="shared" si="19"/>
        <v>2656.399696184154</v>
      </c>
      <c r="AL93" s="447">
        <f t="shared" si="8"/>
        <v>1740.5958333333331</v>
      </c>
      <c r="AM93" s="244">
        <f t="shared" si="24"/>
        <v>3481.1916666666675</v>
      </c>
      <c r="AN93" s="244"/>
    </row>
    <row r="94" spans="1:42" x14ac:dyDescent="0.2">
      <c r="A94" s="117"/>
      <c r="B94" s="657">
        <v>6000</v>
      </c>
      <c r="C94" s="658"/>
      <c r="D94" s="170" t="s">
        <v>534</v>
      </c>
      <c r="E94" s="170"/>
      <c r="F94" s="513">
        <v>6</v>
      </c>
      <c r="G94" s="646" t="str">
        <f>IF(AND(F94&gt;0,F94&lt;=12),"Wert vorhanden","Wert zwischen 0 und 12 eintragen")</f>
        <v>Wert vorhanden</v>
      </c>
      <c r="H94" s="646"/>
      <c r="I94" s="646"/>
      <c r="J94" s="252"/>
      <c r="K94" s="252"/>
      <c r="L94" s="252"/>
      <c r="M94" s="252"/>
      <c r="N94" s="252"/>
      <c r="O94" s="252"/>
      <c r="P94" s="378"/>
      <c r="Q94" s="378"/>
      <c r="R94" s="378"/>
      <c r="T94" s="244">
        <v>3000</v>
      </c>
      <c r="U94" s="244">
        <f t="shared" si="9"/>
        <v>88.146235172189364</v>
      </c>
      <c r="V94" s="244">
        <f t="shared" si="10"/>
        <v>69.205014804803881</v>
      </c>
      <c r="W94" s="244">
        <f t="shared" si="11"/>
        <v>55.473246058236455</v>
      </c>
      <c r="X94" s="244">
        <f t="shared" si="0"/>
        <v>2536.6592317902505</v>
      </c>
      <c r="Y94" s="244">
        <f t="shared" si="1"/>
        <v>1991.571612194886</v>
      </c>
      <c r="Z94" s="244">
        <f t="shared" si="2"/>
        <v>1596.4008157139597</v>
      </c>
      <c r="AA94" s="244">
        <f t="shared" si="13"/>
        <v>5418.6516001264627</v>
      </c>
      <c r="AB94" s="244">
        <f t="shared" si="14"/>
        <v>4844.7112324938144</v>
      </c>
      <c r="AC94" s="244">
        <f t="shared" si="15"/>
        <v>4391.9141643578014</v>
      </c>
      <c r="AD94" s="446">
        <f t="shared" si="4"/>
        <v>2877.7851111111108</v>
      </c>
      <c r="AE94" s="244">
        <f t="shared" si="16"/>
        <v>5755.5702222222226</v>
      </c>
      <c r="AF94" s="244">
        <f t="shared" si="5"/>
        <v>1534.2696966473291</v>
      </c>
      <c r="AG94" s="244">
        <f t="shared" si="6"/>
        <v>1204.5796041501326</v>
      </c>
      <c r="AH94" s="244">
        <f t="shared" si="7"/>
        <v>965.56500950441114</v>
      </c>
      <c r="AI94" s="244">
        <f t="shared" si="17"/>
        <v>3277.4102420119739</v>
      </c>
      <c r="AJ94" s="244">
        <f t="shared" si="18"/>
        <v>2930.2688906212584</v>
      </c>
      <c r="AK94" s="244">
        <f t="shared" si="19"/>
        <v>2656.399696184154</v>
      </c>
      <c r="AL94" s="447">
        <f t="shared" si="8"/>
        <v>1740.5958333333331</v>
      </c>
      <c r="AM94" s="244">
        <f t="shared" si="24"/>
        <v>3481.1916666666675</v>
      </c>
      <c r="AN94" s="244"/>
    </row>
    <row r="95" spans="1:42" x14ac:dyDescent="0.2">
      <c r="A95" s="117"/>
      <c r="B95" s="647" t="str">
        <f>IF(B94&gt;=(Eingabe!J49+Eingabe!K49),"Wert vorhanden","Wert geringer als Summe der Volllaststunden Heizen/Kühlen")</f>
        <v>Wert vorhanden</v>
      </c>
      <c r="C95" s="647"/>
      <c r="D95" s="415" t="s">
        <v>533</v>
      </c>
      <c r="E95" s="170"/>
      <c r="F95" s="514">
        <v>23</v>
      </c>
      <c r="G95" s="646" t="str">
        <f>IF(AND(F95&gt;0,F95&lt;=24),"Wert vorhanden","Wert zwischen 0 und 24 h eintragen")</f>
        <v>Wert vorhanden</v>
      </c>
      <c r="H95" s="646"/>
      <c r="I95" s="646"/>
      <c r="J95" s="252"/>
      <c r="K95" s="252"/>
      <c r="L95" s="252"/>
      <c r="M95" s="252"/>
      <c r="N95" s="252"/>
      <c r="O95" s="252"/>
      <c r="P95" s="378"/>
      <c r="Q95" s="378"/>
      <c r="R95" s="378"/>
      <c r="T95" s="244">
        <v>3100</v>
      </c>
      <c r="U95" s="244">
        <f t="shared" si="9"/>
        <v>87.77629120579455</v>
      </c>
      <c r="V95" s="244">
        <f t="shared" si="10"/>
        <v>68.361064699633971</v>
      </c>
      <c r="W95" s="244">
        <f t="shared" si="11"/>
        <v>54.394254929636389</v>
      </c>
      <c r="X95" s="244">
        <f t="shared" si="0"/>
        <v>2526.013039405887</v>
      </c>
      <c r="Y95" s="244">
        <f t="shared" si="1"/>
        <v>1967.2845417230999</v>
      </c>
      <c r="Z95" s="244">
        <f t="shared" si="2"/>
        <v>1565.3497696648974</v>
      </c>
      <c r="AA95" s="244">
        <f t="shared" si="13"/>
        <v>5418.6516001264627</v>
      </c>
      <c r="AB95" s="244">
        <f t="shared" si="14"/>
        <v>4844.7112324938144</v>
      </c>
      <c r="AC95" s="244">
        <f t="shared" si="15"/>
        <v>4391.9141643578014</v>
      </c>
      <c r="AD95" s="446">
        <f t="shared" si="4"/>
        <v>2877.7851111111108</v>
      </c>
      <c r="AE95" s="244">
        <f t="shared" si="16"/>
        <v>5755.5702222222226</v>
      </c>
      <c r="AF95" s="244">
        <f t="shared" si="5"/>
        <v>1527.8304673825928</v>
      </c>
      <c r="AG95" s="244">
        <f t="shared" si="6"/>
        <v>1189.8898437841331</v>
      </c>
      <c r="AH95" s="244">
        <f t="shared" si="7"/>
        <v>946.78413487796206</v>
      </c>
      <c r="AI95" s="244">
        <f t="shared" si="17"/>
        <v>3277.4102420119739</v>
      </c>
      <c r="AJ95" s="244">
        <f t="shared" si="18"/>
        <v>2930.2688906212584</v>
      </c>
      <c r="AK95" s="244">
        <f t="shared" si="19"/>
        <v>2656.399696184154</v>
      </c>
      <c r="AL95" s="447">
        <f t="shared" si="8"/>
        <v>1740.5958333333331</v>
      </c>
      <c r="AM95" s="244">
        <f t="shared" si="24"/>
        <v>3481.1916666666675</v>
      </c>
      <c r="AN95" s="244"/>
    </row>
    <row r="96" spans="1:42" x14ac:dyDescent="0.2">
      <c r="A96" s="117"/>
      <c r="B96" s="647"/>
      <c r="C96" s="647"/>
      <c r="D96" s="117"/>
      <c r="E96" s="117"/>
      <c r="F96" s="117"/>
      <c r="G96" s="117"/>
      <c r="H96" s="383"/>
      <c r="I96" s="383"/>
      <c r="J96" s="252"/>
      <c r="K96" s="252"/>
      <c r="L96" s="252"/>
      <c r="M96" s="252"/>
      <c r="N96" s="252"/>
      <c r="O96" s="252"/>
      <c r="P96" s="378"/>
      <c r="Q96" s="378"/>
      <c r="R96" s="378"/>
      <c r="T96" s="244">
        <v>3200</v>
      </c>
      <c r="U96" s="244">
        <f t="shared" si="9"/>
        <v>87.40789986995739</v>
      </c>
      <c r="V96" s="244">
        <f t="shared" si="10"/>
        <v>67.527406504407679</v>
      </c>
      <c r="W96" s="244">
        <f t="shared" si="11"/>
        <v>53.336250888295908</v>
      </c>
      <c r="X96" s="244">
        <f t="shared" ref="X96:X127" si="25">U96*($E$36+$U$29)/100</f>
        <v>2515.4115283925416</v>
      </c>
      <c r="Y96" s="244">
        <f t="shared" ref="Y96:Y127" si="26">V96*($E$36+$U$29)/100</f>
        <v>1943.29365030332</v>
      </c>
      <c r="Z96" s="244">
        <f t="shared" ref="Z96:Z127" si="27">W96*($E$36+$U$29)/100</f>
        <v>1534.9026868882472</v>
      </c>
      <c r="AA96" s="244">
        <f t="shared" si="13"/>
        <v>5418.6516001264627</v>
      </c>
      <c r="AB96" s="244">
        <f t="shared" si="14"/>
        <v>4844.7112324938144</v>
      </c>
      <c r="AC96" s="244">
        <f t="shared" si="15"/>
        <v>4391.9141643578014</v>
      </c>
      <c r="AD96" s="446">
        <f t="shared" ref="AD96:AD127" si="28">($E$36+$U$29)</f>
        <v>2877.7851111111108</v>
      </c>
      <c r="AE96" s="244">
        <f t="shared" si="16"/>
        <v>5755.5702222222226</v>
      </c>
      <c r="AF96" s="244">
        <f t="shared" ref="AF96:AF127" si="29">U96*($E$37)/100</f>
        <v>1521.4182631406502</v>
      </c>
      <c r="AG96" s="244">
        <f t="shared" ref="AG96:AG127" si="30">V96*($E$37)/100</f>
        <v>1175.3792239737822</v>
      </c>
      <c r="AH96" s="244">
        <f t="shared" ref="AH96:AH127" si="31">W96*($E$37)/100</f>
        <v>928.36856061789149</v>
      </c>
      <c r="AI96" s="244">
        <f t="shared" si="17"/>
        <v>3277.4102420119739</v>
      </c>
      <c r="AJ96" s="244">
        <f t="shared" si="18"/>
        <v>2930.2688906212584</v>
      </c>
      <c r="AK96" s="244">
        <f t="shared" si="19"/>
        <v>2656.399696184154</v>
      </c>
      <c r="AL96" s="447">
        <f t="shared" ref="AL96:AL127" si="32">$E$37</f>
        <v>1740.5958333333331</v>
      </c>
      <c r="AM96" s="244">
        <f t="shared" si="24"/>
        <v>3481.1916666666675</v>
      </c>
      <c r="AN96" s="244"/>
    </row>
    <row r="97" spans="1:40" x14ac:dyDescent="0.2">
      <c r="A97" s="117"/>
      <c r="B97" s="412"/>
      <c r="C97" s="412"/>
      <c r="D97" s="412"/>
      <c r="E97" s="412"/>
      <c r="F97" s="412"/>
      <c r="G97" s="412"/>
      <c r="H97" s="383"/>
      <c r="I97" s="383"/>
      <c r="J97" s="252"/>
      <c r="K97" s="252" t="s">
        <v>546</v>
      </c>
      <c r="L97" s="440">
        <f>(100*EXP(L80*B94)-100)/100</f>
        <v>-0.22302412249690876</v>
      </c>
      <c r="M97" s="252">
        <f>100*EXP(L80*B94)</f>
        <v>77.697587750309125</v>
      </c>
      <c r="N97" s="252"/>
      <c r="O97" s="252"/>
      <c r="P97" s="378"/>
      <c r="Q97" s="378"/>
      <c r="R97" s="378"/>
      <c r="T97" s="244">
        <v>3300</v>
      </c>
      <c r="U97" s="244">
        <f t="shared" si="9"/>
        <v>87.04105464838932</v>
      </c>
      <c r="V97" s="244">
        <f t="shared" si="10"/>
        <v>66.703914710034269</v>
      </c>
      <c r="W97" s="244">
        <f t="shared" si="11"/>
        <v>52.298825721561606</v>
      </c>
      <c r="X97" s="244">
        <f t="shared" si="25"/>
        <v>2504.8545112254333</v>
      </c>
      <c r="Y97" s="244">
        <f t="shared" si="26"/>
        <v>1919.5953260536203</v>
      </c>
      <c r="Z97" s="244">
        <f t="shared" si="27"/>
        <v>1505.0478199010479</v>
      </c>
      <c r="AA97" s="244">
        <f t="shared" si="13"/>
        <v>5418.6516001264627</v>
      </c>
      <c r="AB97" s="244">
        <f t="shared" si="14"/>
        <v>4844.7112324938144</v>
      </c>
      <c r="AC97" s="244">
        <f t="shared" si="15"/>
        <v>4391.9141643578014</v>
      </c>
      <c r="AD97" s="446">
        <f t="shared" si="28"/>
        <v>2877.7851111111108</v>
      </c>
      <c r="AE97" s="244">
        <f t="shared" si="16"/>
        <v>5755.5702222222226</v>
      </c>
      <c r="AF97" s="244">
        <f t="shared" si="29"/>
        <v>1515.0329704992539</v>
      </c>
      <c r="AG97" s="244">
        <f t="shared" si="30"/>
        <v>1161.0455601130768</v>
      </c>
      <c r="AH97" s="244">
        <f t="shared" si="31"/>
        <v>910.31118139176283</v>
      </c>
      <c r="AI97" s="244">
        <f t="shared" si="17"/>
        <v>3277.4102420119739</v>
      </c>
      <c r="AJ97" s="244">
        <f t="shared" si="18"/>
        <v>2930.2688906212584</v>
      </c>
      <c r="AK97" s="244">
        <f t="shared" si="19"/>
        <v>2656.399696184154</v>
      </c>
      <c r="AL97" s="447">
        <f t="shared" si="32"/>
        <v>1740.5958333333331</v>
      </c>
      <c r="AM97" s="244">
        <f t="shared" si="24"/>
        <v>3481.1916666666675</v>
      </c>
      <c r="AN97" s="244"/>
    </row>
    <row r="98" spans="1:40" x14ac:dyDescent="0.2">
      <c r="A98" s="117"/>
      <c r="B98" s="650" t="s">
        <v>541</v>
      </c>
      <c r="C98" s="650"/>
      <c r="D98" s="655" t="s">
        <v>539</v>
      </c>
      <c r="E98" s="655"/>
      <c r="F98" s="656">
        <f>F94*30*F95</f>
        <v>4140</v>
      </c>
      <c r="G98" s="117"/>
      <c r="H98" s="383"/>
      <c r="I98" s="383"/>
      <c r="J98" s="252"/>
      <c r="K98" s="252"/>
      <c r="L98" s="252"/>
      <c r="M98" s="252"/>
      <c r="N98" s="252"/>
      <c r="O98" s="252"/>
      <c r="P98" s="378"/>
      <c r="Q98" s="378"/>
      <c r="R98" s="378"/>
      <c r="T98" s="244">
        <v>3400</v>
      </c>
      <c r="U98" s="244">
        <f t="shared" si="9"/>
        <v>86.675749052150152</v>
      </c>
      <c r="V98" s="244">
        <f t="shared" si="10"/>
        <v>65.890465337997298</v>
      </c>
      <c r="W98" s="244">
        <f t="shared" si="11"/>
        <v>51.281579156784687</v>
      </c>
      <c r="X98" s="244">
        <f t="shared" si="25"/>
        <v>2494.3418011668068</v>
      </c>
      <c r="Y98" s="244">
        <f t="shared" si="26"/>
        <v>1896.1860011387137</v>
      </c>
      <c r="Z98" s="244">
        <f t="shared" si="27"/>
        <v>1475.7736497166084</v>
      </c>
      <c r="AA98" s="244">
        <f t="shared" si="13"/>
        <v>5418.6516001264627</v>
      </c>
      <c r="AB98" s="244">
        <f t="shared" si="14"/>
        <v>4844.7112324938144</v>
      </c>
      <c r="AC98" s="244">
        <f t="shared" si="15"/>
        <v>4391.9141643578014</v>
      </c>
      <c r="AD98" s="446">
        <f t="shared" si="28"/>
        <v>2877.7851111111108</v>
      </c>
      <c r="AE98" s="244">
        <f t="shared" si="16"/>
        <v>5755.5702222222226</v>
      </c>
      <c r="AF98" s="244">
        <f t="shared" si="29"/>
        <v>1508.6744765121816</v>
      </c>
      <c r="AG98" s="244">
        <f t="shared" si="30"/>
        <v>1146.8866942371251</v>
      </c>
      <c r="AH98" s="244">
        <f t="shared" si="31"/>
        <v>892.60503007052932</v>
      </c>
      <c r="AI98" s="244">
        <f t="shared" si="17"/>
        <v>3277.4102420119739</v>
      </c>
      <c r="AJ98" s="244">
        <f t="shared" si="18"/>
        <v>2930.2688906212584</v>
      </c>
      <c r="AK98" s="244">
        <f t="shared" si="19"/>
        <v>2656.399696184154</v>
      </c>
      <c r="AL98" s="447">
        <f t="shared" si="32"/>
        <v>1740.5958333333331</v>
      </c>
      <c r="AM98" s="244">
        <f t="shared" si="24"/>
        <v>3481.1916666666675</v>
      </c>
      <c r="AN98" s="244"/>
    </row>
    <row r="99" spans="1:40" x14ac:dyDescent="0.2">
      <c r="A99" s="117"/>
      <c r="B99" s="170" t="s">
        <v>542</v>
      </c>
      <c r="C99" s="423">
        <f>(100*EXP(M80*B94)-100)/100</f>
        <v>-0.52106659258668764</v>
      </c>
      <c r="D99" s="655"/>
      <c r="E99" s="655"/>
      <c r="F99" s="656"/>
      <c r="G99" s="117"/>
      <c r="H99" s="383"/>
      <c r="I99" s="383"/>
      <c r="J99" s="252"/>
      <c r="K99" s="252"/>
      <c r="L99" s="252"/>
      <c r="M99" s="252"/>
      <c r="N99" s="252"/>
      <c r="O99" s="252"/>
      <c r="P99" s="378"/>
      <c r="Q99" s="378"/>
      <c r="R99" s="378"/>
      <c r="T99" s="244">
        <v>3500</v>
      </c>
      <c r="U99" s="244">
        <f t="shared" si="9"/>
        <v>86.311976619533411</v>
      </c>
      <c r="V99" s="244">
        <f t="shared" si="10"/>
        <v>65.086935921689204</v>
      </c>
      <c r="W99" s="244">
        <f t="shared" si="11"/>
        <v>50.284118706882673</v>
      </c>
      <c r="X99" s="244">
        <f t="shared" si="25"/>
        <v>2483.8732122626357</v>
      </c>
      <c r="Y99" s="244">
        <f t="shared" si="26"/>
        <v>1873.0621512328012</v>
      </c>
      <c r="Z99" s="244">
        <f t="shared" si="27"/>
        <v>1447.0688814001064</v>
      </c>
      <c r="AA99" s="244">
        <f t="shared" si="13"/>
        <v>5418.6516001264627</v>
      </c>
      <c r="AB99" s="244">
        <f t="shared" si="14"/>
        <v>4844.7112324938144</v>
      </c>
      <c r="AC99" s="244">
        <f t="shared" si="15"/>
        <v>4391.9141643578014</v>
      </c>
      <c r="AD99" s="446">
        <f t="shared" si="28"/>
        <v>2877.7851111111108</v>
      </c>
      <c r="AE99" s="244">
        <f t="shared" si="16"/>
        <v>5755.5702222222226</v>
      </c>
      <c r="AF99" s="244">
        <f t="shared" si="29"/>
        <v>1502.3426687072392</v>
      </c>
      <c r="AG99" s="244">
        <f t="shared" si="30"/>
        <v>1132.9004946972586</v>
      </c>
      <c r="AH99" s="244">
        <f t="shared" si="31"/>
        <v>875.24327504038695</v>
      </c>
      <c r="AI99" s="244">
        <f t="shared" si="17"/>
        <v>3277.4102420119739</v>
      </c>
      <c r="AJ99" s="244">
        <f t="shared" si="18"/>
        <v>2930.2688906212584</v>
      </c>
      <c r="AK99" s="244">
        <f t="shared" si="19"/>
        <v>2656.399696184154</v>
      </c>
      <c r="AL99" s="447">
        <f t="shared" si="32"/>
        <v>1740.5958333333331</v>
      </c>
      <c r="AM99" s="244">
        <f t="shared" si="24"/>
        <v>3481.1916666666675</v>
      </c>
      <c r="AN99" s="244"/>
    </row>
    <row r="100" spans="1:40" x14ac:dyDescent="0.2">
      <c r="A100" s="117"/>
      <c r="B100" s="170" t="s">
        <v>502</v>
      </c>
      <c r="C100" s="423">
        <f>(100*EXP(N80*B94)-100)/100</f>
        <v>-0.69227189717623527</v>
      </c>
      <c r="D100" s="117"/>
      <c r="E100" s="117"/>
      <c r="F100" s="117"/>
      <c r="G100" s="117"/>
      <c r="H100" s="383"/>
      <c r="I100" s="383"/>
      <c r="J100" s="252"/>
      <c r="K100" s="252"/>
      <c r="L100" s="252"/>
      <c r="M100" s="252"/>
      <c r="N100" s="252"/>
      <c r="O100" s="252"/>
      <c r="P100" s="378"/>
      <c r="Q100" s="378"/>
      <c r="R100" s="378"/>
      <c r="T100" s="244">
        <v>3600</v>
      </c>
      <c r="U100" s="244">
        <f t="shared" si="9"/>
        <v>85.949730915951946</v>
      </c>
      <c r="V100" s="244">
        <f t="shared" si="10"/>
        <v>64.293205487973822</v>
      </c>
      <c r="W100" s="244">
        <f t="shared" si="11"/>
        <v>49.306059518905087</v>
      </c>
      <c r="X100" s="244">
        <f t="shared" si="25"/>
        <v>2473.4485593393283</v>
      </c>
      <c r="Y100" s="244">
        <f t="shared" si="26"/>
        <v>1850.2202949889822</v>
      </c>
      <c r="Z100" s="244">
        <f t="shared" si="27"/>
        <v>1418.9224397106332</v>
      </c>
      <c r="AA100" s="244">
        <f t="shared" si="13"/>
        <v>5418.6516001264627</v>
      </c>
      <c r="AB100" s="244">
        <f t="shared" si="14"/>
        <v>4844.7112324938144</v>
      </c>
      <c r="AC100" s="244">
        <f t="shared" si="15"/>
        <v>4391.9141643578014</v>
      </c>
      <c r="AD100" s="446">
        <f t="shared" si="28"/>
        <v>2877.7851111111108</v>
      </c>
      <c r="AE100" s="244">
        <f t="shared" si="16"/>
        <v>5755.5702222222226</v>
      </c>
      <c r="AF100" s="244">
        <f t="shared" si="29"/>
        <v>1496.0374350842712</v>
      </c>
      <c r="AG100" s="244">
        <f t="shared" si="30"/>
        <v>1119.0848558401103</v>
      </c>
      <c r="AH100" s="244">
        <f t="shared" si="31"/>
        <v>858.21921756691518</v>
      </c>
      <c r="AI100" s="244">
        <f t="shared" si="17"/>
        <v>3277.4102420119739</v>
      </c>
      <c r="AJ100" s="244">
        <f t="shared" si="18"/>
        <v>2930.2688906212584</v>
      </c>
      <c r="AK100" s="244">
        <f t="shared" si="19"/>
        <v>2656.399696184154</v>
      </c>
      <c r="AL100" s="447">
        <f t="shared" si="32"/>
        <v>1740.5958333333331</v>
      </c>
      <c r="AM100" s="244">
        <f t="shared" si="24"/>
        <v>3481.1916666666675</v>
      </c>
      <c r="AN100" s="244"/>
    </row>
    <row r="101" spans="1:40" ht="12.75" customHeight="1" x14ac:dyDescent="0.2">
      <c r="A101" s="117"/>
      <c r="B101" s="117"/>
      <c r="C101" s="117"/>
      <c r="D101" s="117"/>
      <c r="E101" s="117"/>
      <c r="F101" s="117"/>
      <c r="G101" s="117"/>
      <c r="I101" s="383"/>
      <c r="J101" s="252"/>
      <c r="K101" s="252"/>
      <c r="L101" s="252" t="s">
        <v>552</v>
      </c>
      <c r="M101" s="252" t="s">
        <v>514</v>
      </c>
      <c r="N101" s="252"/>
      <c r="O101" s="252"/>
      <c r="P101" s="378"/>
      <c r="Q101" s="378"/>
      <c r="R101" s="378"/>
      <c r="T101" s="244">
        <v>3700</v>
      </c>
      <c r="U101" s="244">
        <f t="shared" si="9"/>
        <v>85.58900553382415</v>
      </c>
      <c r="V101" s="244">
        <f t="shared" si="10"/>
        <v>63.509154538973533</v>
      </c>
      <c r="W101" s="244">
        <f t="shared" si="11"/>
        <v>48.347024225544487</v>
      </c>
      <c r="X101" s="244">
        <f t="shared" si="25"/>
        <v>2463.067658000456</v>
      </c>
      <c r="Y101" s="244">
        <f t="shared" si="26"/>
        <v>1827.6569935151265</v>
      </c>
      <c r="Z101" s="244">
        <f t="shared" si="27"/>
        <v>1391.3234648280011</v>
      </c>
      <c r="AA101" s="244">
        <f t="shared" si="13"/>
        <v>5418.6516001264627</v>
      </c>
      <c r="AB101" s="244">
        <f t="shared" si="14"/>
        <v>4844.7112324938144</v>
      </c>
      <c r="AC101" s="244">
        <f t="shared" si="15"/>
        <v>4391.9141643578014</v>
      </c>
      <c r="AD101" s="446">
        <f t="shared" si="28"/>
        <v>2877.7851111111108</v>
      </c>
      <c r="AE101" s="244">
        <f t="shared" si="16"/>
        <v>5755.5702222222226</v>
      </c>
      <c r="AF101" s="244">
        <f t="shared" si="29"/>
        <v>1489.7586641131791</v>
      </c>
      <c r="AG101" s="244">
        <f t="shared" si="30"/>
        <v>1105.4376976906008</v>
      </c>
      <c r="AH101" s="244">
        <f t="shared" si="31"/>
        <v>841.52628921048449</v>
      </c>
      <c r="AI101" s="244">
        <f t="shared" si="17"/>
        <v>3277.4102420119739</v>
      </c>
      <c r="AJ101" s="244">
        <f t="shared" si="18"/>
        <v>2930.2688906212584</v>
      </c>
      <c r="AK101" s="244">
        <f t="shared" si="19"/>
        <v>2656.399696184154</v>
      </c>
      <c r="AL101" s="447">
        <f t="shared" si="32"/>
        <v>1740.5958333333331</v>
      </c>
      <c r="AM101" s="244">
        <f t="shared" si="24"/>
        <v>3481.1916666666675</v>
      </c>
      <c r="AN101" s="244"/>
    </row>
    <row r="102" spans="1:40" x14ac:dyDescent="0.2">
      <c r="A102" s="117"/>
      <c r="B102" s="641" t="s">
        <v>1037</v>
      </c>
      <c r="C102" s="641"/>
      <c r="D102" s="641"/>
      <c r="E102" s="641" t="s">
        <v>1038</v>
      </c>
      <c r="F102" s="641"/>
      <c r="G102" s="641"/>
      <c r="H102" s="413"/>
      <c r="I102" s="383"/>
      <c r="J102" s="252"/>
      <c r="K102" s="252" t="s">
        <v>543</v>
      </c>
      <c r="L102" s="252">
        <f>(1+C99)*E36</f>
        <v>1033.7005718008065</v>
      </c>
      <c r="M102" s="252">
        <f>IF(Eingabe!A13=TRUE,IF(F38=1,L102,L102/(F38-1)),0)</f>
        <v>344.56685726693553</v>
      </c>
      <c r="N102" s="252"/>
      <c r="O102" s="252"/>
      <c r="P102" s="378"/>
      <c r="Q102" s="378"/>
      <c r="R102" s="378"/>
      <c r="T102" s="244">
        <v>3800</v>
      </c>
      <c r="U102" s="244">
        <f t="shared" si="9"/>
        <v>85.229794092460608</v>
      </c>
      <c r="V102" s="244">
        <f t="shared" si="10"/>
        <v>62.734665034078617</v>
      </c>
      <c r="W102" s="244">
        <f t="shared" si="11"/>
        <v>47.406642799535788</v>
      </c>
      <c r="X102" s="244">
        <f t="shared" si="25"/>
        <v>2452.7303246234883</v>
      </c>
      <c r="Y102" s="244">
        <f t="shared" si="26"/>
        <v>1805.3688498561426</v>
      </c>
      <c r="Z102" s="244">
        <f t="shared" si="27"/>
        <v>1364.2613081626685</v>
      </c>
      <c r="AA102" s="244">
        <f t="shared" si="13"/>
        <v>5418.6516001264627</v>
      </c>
      <c r="AB102" s="244">
        <f t="shared" si="14"/>
        <v>4844.7112324938144</v>
      </c>
      <c r="AC102" s="244">
        <f t="shared" si="15"/>
        <v>4391.9141643578014</v>
      </c>
      <c r="AD102" s="446">
        <f t="shared" si="28"/>
        <v>2877.7851111111108</v>
      </c>
      <c r="AE102" s="244">
        <f t="shared" si="16"/>
        <v>5755.5702222222226</v>
      </c>
      <c r="AF102" s="244">
        <f t="shared" si="29"/>
        <v>1483.5062447319485</v>
      </c>
      <c r="AG102" s="244">
        <f t="shared" si="30"/>
        <v>1091.9569656387957</v>
      </c>
      <c r="AH102" s="244">
        <f t="shared" si="31"/>
        <v>825.15804929193644</v>
      </c>
      <c r="AI102" s="244">
        <f t="shared" si="17"/>
        <v>3277.4102420119739</v>
      </c>
      <c r="AJ102" s="244">
        <f t="shared" si="18"/>
        <v>2930.2688906212584</v>
      </c>
      <c r="AK102" s="244">
        <f t="shared" si="19"/>
        <v>2656.399696184154</v>
      </c>
      <c r="AL102" s="447">
        <f t="shared" si="32"/>
        <v>1740.5958333333331</v>
      </c>
      <c r="AM102" s="244">
        <f t="shared" si="24"/>
        <v>3481.1916666666675</v>
      </c>
      <c r="AN102" s="244"/>
    </row>
    <row r="103" spans="1:40" x14ac:dyDescent="0.2">
      <c r="A103" s="117"/>
      <c r="B103" s="641"/>
      <c r="C103" s="641"/>
      <c r="D103" s="641"/>
      <c r="E103" s="641"/>
      <c r="F103" s="641"/>
      <c r="G103" s="641"/>
      <c r="H103" s="413"/>
      <c r="I103" s="383"/>
      <c r="J103" s="252"/>
      <c r="K103" s="252" t="s">
        <v>550</v>
      </c>
      <c r="L103" s="252">
        <f>(M97/100)*E36</f>
        <v>1676.9772089781648</v>
      </c>
      <c r="M103" s="252">
        <f>IF(Eingabe!A13=TRUE,IF(F38=1,L103,L103/(F38-1)),0)</f>
        <v>558.99240299272162</v>
      </c>
      <c r="N103" s="252"/>
      <c r="O103" s="252"/>
      <c r="P103" s="378"/>
      <c r="Q103" s="378"/>
      <c r="R103" s="378"/>
      <c r="T103" s="244">
        <v>3900</v>
      </c>
      <c r="U103" s="244">
        <f t="shared" si="9"/>
        <v>84.872090237951269</v>
      </c>
      <c r="V103" s="244">
        <f t="shared" si="10"/>
        <v>61.96962037217596</v>
      </c>
      <c r="W103" s="244">
        <f t="shared" si="11"/>
        <v>46.48455241088768</v>
      </c>
      <c r="X103" s="244">
        <f t="shared" si="25"/>
        <v>2442.4363763565484</v>
      </c>
      <c r="Y103" s="244">
        <f t="shared" si="26"/>
        <v>1783.3525084825576</v>
      </c>
      <c r="Z103" s="244">
        <f t="shared" si="27"/>
        <v>1337.7255282471667</v>
      </c>
      <c r="AA103" s="244">
        <f t="shared" si="13"/>
        <v>5418.6516001264627</v>
      </c>
      <c r="AB103" s="244">
        <f t="shared" si="14"/>
        <v>4844.7112324938144</v>
      </c>
      <c r="AC103" s="244">
        <f t="shared" si="15"/>
        <v>4391.9141643578014</v>
      </c>
      <c r="AD103" s="446">
        <f t="shared" si="28"/>
        <v>2877.7851111111108</v>
      </c>
      <c r="AE103" s="244">
        <f t="shared" si="16"/>
        <v>5755.5702222222226</v>
      </c>
      <c r="AF103" s="244">
        <f t="shared" si="29"/>
        <v>1477.2800663446862</v>
      </c>
      <c r="AG103" s="244">
        <f t="shared" si="30"/>
        <v>1078.640630130579</v>
      </c>
      <c r="AH103" s="244">
        <f t="shared" si="31"/>
        <v>809.10818240756043</v>
      </c>
      <c r="AI103" s="244">
        <f t="shared" si="17"/>
        <v>3277.4102420119739</v>
      </c>
      <c r="AJ103" s="244">
        <f t="shared" si="18"/>
        <v>2930.2688906212584</v>
      </c>
      <c r="AK103" s="244">
        <f t="shared" si="19"/>
        <v>2656.399696184154</v>
      </c>
      <c r="AL103" s="447">
        <f t="shared" si="32"/>
        <v>1740.5958333333331</v>
      </c>
      <c r="AM103" s="244">
        <f t="shared" si="24"/>
        <v>3481.1916666666675</v>
      </c>
      <c r="AN103" s="244"/>
    </row>
    <row r="104" spans="1:40" x14ac:dyDescent="0.2">
      <c r="A104" s="117"/>
      <c r="B104" s="170"/>
      <c r="C104" s="170" t="s">
        <v>1064</v>
      </c>
      <c r="D104" s="170" t="s">
        <v>1065</v>
      </c>
      <c r="E104" s="170"/>
      <c r="F104" s="170" t="s">
        <v>1064</v>
      </c>
      <c r="G104" s="170" t="s">
        <v>1066</v>
      </c>
      <c r="H104" s="413"/>
      <c r="I104" s="383"/>
      <c r="J104" s="252"/>
      <c r="K104" s="252" t="s">
        <v>551</v>
      </c>
      <c r="L104" s="252">
        <f>(1+C100)*E36</f>
        <v>664.18151443252441</v>
      </c>
      <c r="M104" s="252">
        <f>IF(Eingabe!A13=TRUE,IF(F38=1,L104,L104/(F38-1)),0)</f>
        <v>221.39383814417479</v>
      </c>
      <c r="N104" s="252"/>
      <c r="O104" s="252"/>
      <c r="P104" s="378"/>
      <c r="Q104" s="378"/>
      <c r="R104" s="378"/>
      <c r="T104" s="244">
        <v>4000</v>
      </c>
      <c r="U104" s="244">
        <f t="shared" si="9"/>
        <v>84.515887643053006</v>
      </c>
      <c r="V104" s="244">
        <f t="shared" si="10"/>
        <v>61.213905374094544</v>
      </c>
      <c r="W104" s="244">
        <f t="shared" si="11"/>
        <v>45.580397286890829</v>
      </c>
      <c r="X104" s="244">
        <f t="shared" si="25"/>
        <v>2432.1856311151746</v>
      </c>
      <c r="Y104" s="244">
        <f t="shared" si="26"/>
        <v>1761.6046547853371</v>
      </c>
      <c r="Z104" s="244">
        <f t="shared" si="27"/>
        <v>1311.7058867074368</v>
      </c>
      <c r="AA104" s="244">
        <f t="shared" si="13"/>
        <v>5418.6516001264627</v>
      </c>
      <c r="AB104" s="244">
        <f t="shared" si="14"/>
        <v>4844.7112324938144</v>
      </c>
      <c r="AC104" s="244">
        <f t="shared" si="15"/>
        <v>4391.9141643578014</v>
      </c>
      <c r="AD104" s="446">
        <f t="shared" si="28"/>
        <v>2877.7851111111108</v>
      </c>
      <c r="AE104" s="244">
        <f t="shared" si="16"/>
        <v>5755.5702222222226</v>
      </c>
      <c r="AF104" s="244">
        <f t="shared" si="29"/>
        <v>1471.080018819662</v>
      </c>
      <c r="AG104" s="244">
        <f t="shared" si="30"/>
        <v>1065.4866863620989</v>
      </c>
      <c r="AH104" s="244">
        <f t="shared" si="31"/>
        <v>793.3704959924014</v>
      </c>
      <c r="AI104" s="244">
        <f t="shared" si="17"/>
        <v>3277.4102420119739</v>
      </c>
      <c r="AJ104" s="244">
        <f t="shared" si="18"/>
        <v>2930.2688906212584</v>
      </c>
      <c r="AK104" s="244">
        <f t="shared" si="19"/>
        <v>2656.399696184154</v>
      </c>
      <c r="AL104" s="447">
        <f t="shared" si="32"/>
        <v>1740.5958333333331</v>
      </c>
      <c r="AM104" s="244">
        <f t="shared" si="24"/>
        <v>3481.1916666666675</v>
      </c>
      <c r="AN104" s="244"/>
    </row>
    <row r="105" spans="1:40" x14ac:dyDescent="0.2">
      <c r="A105" s="117"/>
      <c r="B105" s="414" t="s">
        <v>543</v>
      </c>
      <c r="C105" s="421">
        <f>L102+M102</f>
        <v>1378.2674290677421</v>
      </c>
      <c r="D105" s="416">
        <f>ROUND(AB164,-2)</f>
        <v>4800</v>
      </c>
      <c r="E105" s="414" t="s">
        <v>543</v>
      </c>
      <c r="F105" s="421">
        <f>F42*(1+C99)</f>
        <v>833.62949338774717</v>
      </c>
      <c r="G105" s="416">
        <f>ROUND(AJ164,-2)</f>
        <v>2900</v>
      </c>
      <c r="H105" s="413"/>
      <c r="I105" s="383"/>
      <c r="J105" s="252"/>
      <c r="K105" s="252"/>
      <c r="L105" s="252"/>
      <c r="M105" s="252"/>
      <c r="N105" s="252"/>
      <c r="O105" s="252"/>
      <c r="P105" s="378"/>
      <c r="Q105" s="378"/>
      <c r="R105" s="378"/>
      <c r="T105" s="244">
        <v>4100</v>
      </c>
      <c r="U105" s="244">
        <f t="shared" si="9"/>
        <v>84.161180007077704</v>
      </c>
      <c r="V105" s="244">
        <f t="shared" si="10"/>
        <v>60.467406265264913</v>
      </c>
      <c r="W105" s="244">
        <f t="shared" si="11"/>
        <v>44.693828574849142</v>
      </c>
      <c r="X105" s="244">
        <f t="shared" si="25"/>
        <v>2421.977907579103</v>
      </c>
      <c r="Y105" s="244">
        <f t="shared" si="26"/>
        <v>1740.1220145768605</v>
      </c>
      <c r="Z105" s="244">
        <f t="shared" si="27"/>
        <v>1286.1923443125318</v>
      </c>
      <c r="AA105" s="244">
        <f t="shared" si="13"/>
        <v>5418.6516001264627</v>
      </c>
      <c r="AB105" s="244">
        <f t="shared" si="14"/>
        <v>4844.7112324938144</v>
      </c>
      <c r="AC105" s="244">
        <f t="shared" si="15"/>
        <v>4391.9141643578014</v>
      </c>
      <c r="AD105" s="446">
        <f t="shared" si="28"/>
        <v>2877.7851111111108</v>
      </c>
      <c r="AE105" s="244">
        <f t="shared" si="16"/>
        <v>5755.5702222222226</v>
      </c>
      <c r="AF105" s="244">
        <f t="shared" si="29"/>
        <v>1464.9059924873609</v>
      </c>
      <c r="AG105" s="244">
        <f t="shared" si="30"/>
        <v>1052.4931539779398</v>
      </c>
      <c r="AH105" s="244">
        <f t="shared" si="31"/>
        <v>777.93891793096668</v>
      </c>
      <c r="AI105" s="244">
        <f t="shared" si="17"/>
        <v>3277.4102420119739</v>
      </c>
      <c r="AJ105" s="244">
        <f t="shared" si="18"/>
        <v>2930.2688906212584</v>
      </c>
      <c r="AK105" s="244">
        <f t="shared" si="19"/>
        <v>2656.399696184154</v>
      </c>
      <c r="AL105" s="447">
        <f t="shared" si="32"/>
        <v>1740.5958333333331</v>
      </c>
      <c r="AM105" s="244">
        <f t="shared" si="24"/>
        <v>3481.1916666666675</v>
      </c>
      <c r="AN105" s="244"/>
    </row>
    <row r="106" spans="1:40" x14ac:dyDescent="0.2">
      <c r="A106" s="117"/>
      <c r="B106" s="170" t="s">
        <v>544</v>
      </c>
      <c r="C106" s="422">
        <f>L103+M103</f>
        <v>2235.9696119708865</v>
      </c>
      <c r="D106" s="416">
        <f>ROUND(AA164,-2)</f>
        <v>5400</v>
      </c>
      <c r="E106" s="170" t="s">
        <v>544</v>
      </c>
      <c r="F106" s="422">
        <f>F42*M97/100</f>
        <v>1352.4009749823908</v>
      </c>
      <c r="G106" s="416">
        <f>ROUND(AI164,-2)</f>
        <v>3300</v>
      </c>
      <c r="H106" s="413"/>
      <c r="I106" s="383"/>
      <c r="J106" s="252"/>
      <c r="K106" s="252"/>
      <c r="L106" s="252"/>
      <c r="M106" s="252"/>
      <c r="N106" s="252"/>
      <c r="O106" s="252"/>
      <c r="P106" s="378"/>
      <c r="Q106" s="378"/>
      <c r="R106" s="378"/>
      <c r="T106" s="244">
        <v>4200</v>
      </c>
      <c r="U106" s="244">
        <f t="shared" si="9"/>
        <v>83.807961055780851</v>
      </c>
      <c r="V106" s="244">
        <f t="shared" si="10"/>
        <v>59.730010658590196</v>
      </c>
      <c r="W106" s="244">
        <f t="shared" si="11"/>
        <v>43.824504207480977</v>
      </c>
      <c r="X106" s="244">
        <f t="shared" si="25"/>
        <v>2411.8130251890598</v>
      </c>
      <c r="Y106" s="244">
        <f t="shared" si="26"/>
        <v>1718.9013535979882</v>
      </c>
      <c r="Z106" s="244">
        <f t="shared" si="27"/>
        <v>1261.1750571011498</v>
      </c>
      <c r="AA106" s="244">
        <f t="shared" si="13"/>
        <v>5418.6516001264627</v>
      </c>
      <c r="AB106" s="244">
        <f t="shared" si="14"/>
        <v>4844.7112324938144</v>
      </c>
      <c r="AC106" s="244">
        <f t="shared" si="15"/>
        <v>4391.9141643578014</v>
      </c>
      <c r="AD106" s="446">
        <f t="shared" si="28"/>
        <v>2877.7851111111108</v>
      </c>
      <c r="AE106" s="244">
        <f t="shared" si="16"/>
        <v>5755.5702222222226</v>
      </c>
      <c r="AF106" s="244">
        <f t="shared" si="29"/>
        <v>1458.7578781385441</v>
      </c>
      <c r="AG106" s="244">
        <f t="shared" si="30"/>
        <v>1039.6580767729765</v>
      </c>
      <c r="AH106" s="244">
        <f t="shared" si="31"/>
        <v>762.80749421440521</v>
      </c>
      <c r="AI106" s="244">
        <f t="shared" si="17"/>
        <v>3277.4102420119739</v>
      </c>
      <c r="AJ106" s="244">
        <f t="shared" si="18"/>
        <v>2930.2688906212584</v>
      </c>
      <c r="AK106" s="244">
        <f t="shared" si="19"/>
        <v>2656.399696184154</v>
      </c>
      <c r="AL106" s="447">
        <f t="shared" si="32"/>
        <v>1740.5958333333331</v>
      </c>
      <c r="AM106" s="244">
        <f t="shared" si="24"/>
        <v>3481.1916666666675</v>
      </c>
      <c r="AN106" s="244"/>
    </row>
    <row r="107" spans="1:40" x14ac:dyDescent="0.2">
      <c r="A107" s="117"/>
      <c r="B107" s="659" t="s">
        <v>545</v>
      </c>
      <c r="C107" s="660">
        <f>L104+M104</f>
        <v>885.57535257669917</v>
      </c>
      <c r="D107" s="639">
        <f>ROUND(AC164,-2)</f>
        <v>4400</v>
      </c>
      <c r="E107" s="659" t="s">
        <v>545</v>
      </c>
      <c r="F107" s="660">
        <f>F42*(1+C100)</f>
        <v>535.6302535746164</v>
      </c>
      <c r="G107" s="639">
        <f>ROUND(AK164,-2)</f>
        <v>2700</v>
      </c>
      <c r="H107" s="413"/>
      <c r="I107" s="383"/>
      <c r="J107" s="252"/>
      <c r="K107" s="252"/>
      <c r="L107" s="252"/>
      <c r="M107" s="252"/>
      <c r="N107" s="252"/>
      <c r="O107" s="252"/>
      <c r="P107" s="252"/>
      <c r="Q107" s="252"/>
      <c r="R107" s="252"/>
      <c r="T107" s="244">
        <v>4300</v>
      </c>
      <c r="U107" s="244">
        <f t="shared" si="9"/>
        <v>83.456224541250506</v>
      </c>
      <c r="V107" s="244">
        <f t="shared" si="10"/>
        <v>59.001607537525949</v>
      </c>
      <c r="W107" s="244">
        <f t="shared" si="11"/>
        <v>42.972088770938349</v>
      </c>
      <c r="X107" s="244">
        <f t="shared" si="25"/>
        <v>2401.690804143564</v>
      </c>
      <c r="Y107" s="244">
        <f t="shared" si="26"/>
        <v>1697.9394770311326</v>
      </c>
      <c r="Z107" s="244">
        <f t="shared" si="27"/>
        <v>1236.6443725835134</v>
      </c>
      <c r="AA107" s="244">
        <f t="shared" si="13"/>
        <v>5418.6516001264627</v>
      </c>
      <c r="AB107" s="244">
        <f t="shared" si="14"/>
        <v>4844.7112324938144</v>
      </c>
      <c r="AC107" s="244">
        <f t="shared" si="15"/>
        <v>4391.9141643578014</v>
      </c>
      <c r="AD107" s="446">
        <f t="shared" si="28"/>
        <v>2877.7851111111108</v>
      </c>
      <c r="AE107" s="244">
        <f t="shared" si="16"/>
        <v>5755.5702222222226</v>
      </c>
      <c r="AF107" s="244">
        <f t="shared" si="29"/>
        <v>1452.635567022317</v>
      </c>
      <c r="AG107" s="244">
        <f t="shared" si="30"/>
        <v>1026.9795223978624</v>
      </c>
      <c r="AH107" s="244">
        <f t="shared" si="31"/>
        <v>747.97038664325407</v>
      </c>
      <c r="AI107" s="244">
        <f t="shared" si="17"/>
        <v>3277.4102420119739</v>
      </c>
      <c r="AJ107" s="244">
        <f t="shared" si="18"/>
        <v>2930.2688906212584</v>
      </c>
      <c r="AK107" s="244">
        <f t="shared" si="19"/>
        <v>2656.399696184154</v>
      </c>
      <c r="AL107" s="447">
        <f t="shared" si="32"/>
        <v>1740.5958333333331</v>
      </c>
      <c r="AM107" s="244">
        <f t="shared" si="24"/>
        <v>3481.1916666666675</v>
      </c>
      <c r="AN107" s="244"/>
    </row>
    <row r="108" spans="1:40" x14ac:dyDescent="0.2">
      <c r="A108" s="117"/>
      <c r="B108" s="659"/>
      <c r="C108" s="661"/>
      <c r="D108" s="640"/>
      <c r="E108" s="659"/>
      <c r="F108" s="661"/>
      <c r="G108" s="640"/>
      <c r="H108" s="383"/>
      <c r="I108" s="383"/>
      <c r="J108" s="252"/>
      <c r="K108" s="252"/>
      <c r="L108" s="252"/>
      <c r="M108" s="252"/>
      <c r="N108" s="252"/>
      <c r="O108" s="252"/>
      <c r="P108" s="252"/>
      <c r="Q108" s="252"/>
      <c r="R108" s="252"/>
      <c r="T108" s="244">
        <v>4400</v>
      </c>
      <c r="U108" s="244">
        <f t="shared" si="9"/>
        <v>83.105964241796798</v>
      </c>
      <c r="V108" s="244">
        <f t="shared" si="10"/>
        <v>58.282087239366398</v>
      </c>
      <c r="W108" s="244">
        <f t="shared" si="11"/>
        <v>42.136253375393231</v>
      </c>
      <c r="X108" s="244">
        <f t="shared" si="25"/>
        <v>2391.6110653957521</v>
      </c>
      <c r="Y108" s="244">
        <f t="shared" si="26"/>
        <v>1677.2332290192749</v>
      </c>
      <c r="Z108" s="244">
        <f t="shared" si="27"/>
        <v>1212.5908260171193</v>
      </c>
      <c r="AA108" s="244">
        <f t="shared" si="13"/>
        <v>5418.6516001264627</v>
      </c>
      <c r="AB108" s="244">
        <f t="shared" si="14"/>
        <v>4844.7112324938144</v>
      </c>
      <c r="AC108" s="244">
        <f t="shared" si="15"/>
        <v>4391.9141643578014</v>
      </c>
      <c r="AD108" s="446">
        <f t="shared" si="28"/>
        <v>2877.7851111111108</v>
      </c>
      <c r="AE108" s="244">
        <f t="shared" si="16"/>
        <v>5755.5702222222226</v>
      </c>
      <c r="AF108" s="244">
        <f t="shared" si="29"/>
        <v>1446.5389508442049</v>
      </c>
      <c r="AG108" s="244">
        <f t="shared" si="30"/>
        <v>1014.4555820681098</v>
      </c>
      <c r="AH108" s="244">
        <f t="shared" si="31"/>
        <v>733.42187057487058</v>
      </c>
      <c r="AI108" s="244">
        <f t="shared" si="17"/>
        <v>3277.4102420119739</v>
      </c>
      <c r="AJ108" s="244">
        <f t="shared" si="18"/>
        <v>2930.2688906212584</v>
      </c>
      <c r="AK108" s="244">
        <f t="shared" si="19"/>
        <v>2656.399696184154</v>
      </c>
      <c r="AL108" s="447">
        <f t="shared" si="32"/>
        <v>1740.5958333333331</v>
      </c>
      <c r="AM108" s="244">
        <f t="shared" si="24"/>
        <v>3481.1916666666675</v>
      </c>
      <c r="AN108" s="244"/>
    </row>
    <row r="109" spans="1:40" x14ac:dyDescent="0.2">
      <c r="A109" s="117"/>
      <c r="B109" s="412"/>
      <c r="C109" s="412"/>
      <c r="D109" s="412"/>
      <c r="E109" s="412"/>
      <c r="F109" s="412"/>
      <c r="G109" s="117"/>
      <c r="H109" s="383"/>
      <c r="I109" s="383"/>
      <c r="J109" s="252"/>
      <c r="K109" s="252"/>
      <c r="L109" s="252"/>
      <c r="M109" s="252"/>
      <c r="N109" s="252"/>
      <c r="O109" s="252"/>
      <c r="P109" s="252"/>
      <c r="Q109" s="252"/>
      <c r="R109" s="252"/>
      <c r="T109" s="244">
        <v>4500</v>
      </c>
      <c r="U109" s="244">
        <f t="shared" si="9"/>
        <v>82.757173961841929</v>
      </c>
      <c r="V109" s="244">
        <f t="shared" si="10"/>
        <v>57.571341438734478</v>
      </c>
      <c r="W109" s="244">
        <f t="shared" si="11"/>
        <v>41.316675528141161</v>
      </c>
      <c r="X109" s="244">
        <f t="shared" si="25"/>
        <v>2381.5736306502081</v>
      </c>
      <c r="Y109" s="244">
        <f t="shared" si="26"/>
        <v>1656.7794921908419</v>
      </c>
      <c r="Z109" s="244">
        <f t="shared" si="27"/>
        <v>1189.0051367549343</v>
      </c>
      <c r="AA109" s="244">
        <f t="shared" si="13"/>
        <v>5418.6516001264627</v>
      </c>
      <c r="AB109" s="244">
        <f t="shared" si="14"/>
        <v>4844.7112324938144</v>
      </c>
      <c r="AC109" s="244">
        <f t="shared" si="15"/>
        <v>4391.9141643578014</v>
      </c>
      <c r="AD109" s="446">
        <f t="shared" si="28"/>
        <v>2877.7851111111108</v>
      </c>
      <c r="AE109" s="244">
        <f t="shared" si="16"/>
        <v>5755.5702222222226</v>
      </c>
      <c r="AF109" s="244">
        <f t="shared" si="29"/>
        <v>1440.4679217642386</v>
      </c>
      <c r="AG109" s="244">
        <f t="shared" si="30"/>
        <v>1002.0843702767188</v>
      </c>
      <c r="AH109" s="244">
        <f t="shared" si="31"/>
        <v>719.156332714678</v>
      </c>
      <c r="AI109" s="244">
        <f t="shared" si="17"/>
        <v>3277.4102420119739</v>
      </c>
      <c r="AJ109" s="244">
        <f t="shared" si="18"/>
        <v>2930.2688906212584</v>
      </c>
      <c r="AK109" s="244">
        <f t="shared" si="19"/>
        <v>2656.399696184154</v>
      </c>
      <c r="AL109" s="447">
        <f t="shared" si="32"/>
        <v>1740.5958333333331</v>
      </c>
      <c r="AM109" s="244">
        <f t="shared" si="24"/>
        <v>3481.1916666666675</v>
      </c>
      <c r="AN109" s="244"/>
    </row>
    <row r="110" spans="1:40" x14ac:dyDescent="0.2">
      <c r="A110" s="117"/>
      <c r="B110" s="643" t="s">
        <v>536</v>
      </c>
      <c r="C110" s="644"/>
      <c r="D110" s="644"/>
      <c r="E110" s="644"/>
      <c r="F110" s="645"/>
      <c r="G110" s="434"/>
      <c r="H110" s="434"/>
      <c r="I110" s="434"/>
      <c r="J110" s="252"/>
      <c r="K110" s="252"/>
      <c r="L110" s="252"/>
      <c r="M110" s="252"/>
      <c r="N110" s="252"/>
      <c r="O110" s="252"/>
      <c r="P110" s="252"/>
      <c r="Q110" s="252"/>
      <c r="R110" s="252"/>
      <c r="T110" s="244">
        <v>4600</v>
      </c>
      <c r="U110" s="244">
        <f t="shared" si="9"/>
        <v>82.40984753181047</v>
      </c>
      <c r="V110" s="244">
        <f t="shared" si="10"/>
        <v>56.869263131273151</v>
      </c>
      <c r="W110" s="244">
        <f t="shared" si="11"/>
        <v>40.513039009172871</v>
      </c>
      <c r="X110" s="244">
        <f t="shared" si="25"/>
        <v>2371.5783223598091</v>
      </c>
      <c r="Y110" s="244">
        <f t="shared" si="26"/>
        <v>1636.575187190379</v>
      </c>
      <c r="Z110" s="244">
        <f t="shared" si="27"/>
        <v>1165.8782046646131</v>
      </c>
      <c r="AA110" s="244">
        <f t="shared" si="13"/>
        <v>5418.6516001264627</v>
      </c>
      <c r="AB110" s="244">
        <f t="shared" si="14"/>
        <v>4844.7112324938144</v>
      </c>
      <c r="AC110" s="244">
        <f t="shared" si="15"/>
        <v>4391.9141643578014</v>
      </c>
      <c r="AD110" s="446">
        <f t="shared" si="28"/>
        <v>2877.7851111111108</v>
      </c>
      <c r="AE110" s="244">
        <f t="shared" si="16"/>
        <v>5755.5702222222226</v>
      </c>
      <c r="AF110" s="244">
        <f t="shared" si="29"/>
        <v>1434.4223723950456</v>
      </c>
      <c r="AG110" s="244">
        <f t="shared" si="30"/>
        <v>989.86402451030983</v>
      </c>
      <c r="AH110" s="244">
        <f t="shared" si="31"/>
        <v>705.16826895037082</v>
      </c>
      <c r="AI110" s="244">
        <f t="shared" si="17"/>
        <v>3277.4102420119739</v>
      </c>
      <c r="AJ110" s="244">
        <f t="shared" si="18"/>
        <v>2930.2688906212584</v>
      </c>
      <c r="AK110" s="244">
        <f t="shared" si="19"/>
        <v>2656.399696184154</v>
      </c>
      <c r="AL110" s="447">
        <f t="shared" si="32"/>
        <v>1740.5958333333331</v>
      </c>
      <c r="AM110" s="244">
        <f t="shared" si="24"/>
        <v>3481.1916666666675</v>
      </c>
      <c r="AN110" s="244"/>
    </row>
    <row r="111" spans="1:40" x14ac:dyDescent="0.2">
      <c r="A111" s="117"/>
      <c r="B111" s="284" t="s">
        <v>537</v>
      </c>
      <c r="C111" s="285"/>
      <c r="D111" s="246">
        <f>MIN(H111:I111)</f>
        <v>1815.8501880757731</v>
      </c>
      <c r="E111" s="285" t="s">
        <v>502</v>
      </c>
      <c r="F111" s="246">
        <f>MAX(H111:I111)</f>
        <v>1818.6263748689887</v>
      </c>
      <c r="G111" s="434"/>
      <c r="H111" s="252">
        <f>1/N80*LN(70/100)</f>
        <v>1815.8501880757731</v>
      </c>
      <c r="I111" s="252">
        <f>1/M80*LN(80/100)</f>
        <v>1818.6263748689887</v>
      </c>
      <c r="J111" s="252"/>
      <c r="K111" s="252"/>
      <c r="L111" s="252"/>
      <c r="M111" s="434"/>
      <c r="N111" s="252"/>
      <c r="O111" s="252"/>
      <c r="P111" s="252"/>
      <c r="Q111" s="252"/>
      <c r="R111" s="252"/>
      <c r="T111" s="244">
        <v>4700</v>
      </c>
      <c r="U111" s="244">
        <f t="shared" si="9"/>
        <v>82.063978808020337</v>
      </c>
      <c r="V111" s="244">
        <f t="shared" si="10"/>
        <v>56.175746617535751</v>
      </c>
      <c r="W111" s="244">
        <f t="shared" si="11"/>
        <v>39.725033749166357</v>
      </c>
      <c r="X111" s="244">
        <f t="shared" si="25"/>
        <v>2361.6249637225865</v>
      </c>
      <c r="Y111" s="244">
        <f t="shared" si="26"/>
        <v>1616.6172722149472</v>
      </c>
      <c r="Z111" s="244">
        <f t="shared" si="27"/>
        <v>1143.2011066173734</v>
      </c>
      <c r="AA111" s="244">
        <f t="shared" si="13"/>
        <v>5418.6516001264627</v>
      </c>
      <c r="AB111" s="244">
        <f t="shared" si="14"/>
        <v>4844.7112324938144</v>
      </c>
      <c r="AC111" s="244">
        <f t="shared" si="15"/>
        <v>4391.9141643578014</v>
      </c>
      <c r="AD111" s="446">
        <f t="shared" si="28"/>
        <v>2877.7851111111108</v>
      </c>
      <c r="AE111" s="244">
        <f t="shared" si="16"/>
        <v>5755.5702222222226</v>
      </c>
      <c r="AF111" s="244">
        <f t="shared" si="29"/>
        <v>1428.4021957999514</v>
      </c>
      <c r="AG111" s="244">
        <f t="shared" si="30"/>
        <v>977.792704968718</v>
      </c>
      <c r="AH111" s="244">
        <f t="shared" si="31"/>
        <v>691.45228222824994</v>
      </c>
      <c r="AI111" s="244">
        <f t="shared" si="17"/>
        <v>3277.4102420119739</v>
      </c>
      <c r="AJ111" s="244">
        <f t="shared" si="18"/>
        <v>2930.2688906212584</v>
      </c>
      <c r="AK111" s="244">
        <f t="shared" si="19"/>
        <v>2656.399696184154</v>
      </c>
      <c r="AL111" s="447">
        <f t="shared" si="32"/>
        <v>1740.5958333333331</v>
      </c>
      <c r="AM111" s="244">
        <f t="shared" si="24"/>
        <v>3481.1916666666675</v>
      </c>
      <c r="AN111" s="244"/>
    </row>
    <row r="112" spans="1:40" x14ac:dyDescent="0.2">
      <c r="A112" s="117"/>
      <c r="B112" s="279" t="s">
        <v>538</v>
      </c>
      <c r="C112" s="280"/>
      <c r="D112" s="280"/>
      <c r="E112" s="280"/>
      <c r="F112" s="281"/>
      <c r="G112" s="434"/>
      <c r="H112" s="252"/>
      <c r="I112" s="252"/>
      <c r="J112" s="252"/>
      <c r="K112" s="252"/>
      <c r="L112" s="252"/>
      <c r="M112" s="434"/>
      <c r="N112" s="252"/>
      <c r="O112" s="252"/>
      <c r="P112" s="252"/>
      <c r="Q112" s="252"/>
      <c r="R112" s="252"/>
      <c r="T112" s="244">
        <v>4800</v>
      </c>
      <c r="U112" s="244">
        <f t="shared" si="9"/>
        <v>81.719561672574045</v>
      </c>
      <c r="V112" s="244">
        <f t="shared" si="10"/>
        <v>55.49068748707262</v>
      </c>
      <c r="W112" s="244">
        <f t="shared" si="11"/>
        <v>38.952355709851858</v>
      </c>
      <c r="X112" s="244">
        <f t="shared" si="25"/>
        <v>2351.713378678598</v>
      </c>
      <c r="Y112" s="244">
        <f t="shared" si="26"/>
        <v>1596.9027425561719</v>
      </c>
      <c r="Z112" s="244">
        <f t="shared" si="27"/>
        <v>1120.9650930451553</v>
      </c>
      <c r="AA112" s="244">
        <f t="shared" si="13"/>
        <v>5418.6516001264627</v>
      </c>
      <c r="AB112" s="244">
        <f t="shared" si="14"/>
        <v>4844.7112324938144</v>
      </c>
      <c r="AC112" s="244">
        <f t="shared" si="15"/>
        <v>4391.9141643578014</v>
      </c>
      <c r="AD112" s="446">
        <f t="shared" si="28"/>
        <v>2877.7851111111108</v>
      </c>
      <c r="AE112" s="244">
        <f t="shared" si="16"/>
        <v>5755.5702222222226</v>
      </c>
      <c r="AF112" s="244">
        <f t="shared" si="29"/>
        <v>1422.4072854910874</v>
      </c>
      <c r="AG112" s="244">
        <f t="shared" si="30"/>
        <v>965.86859428800733</v>
      </c>
      <c r="AH112" s="244">
        <f t="shared" si="31"/>
        <v>678.00308047086014</v>
      </c>
      <c r="AI112" s="244">
        <f t="shared" si="17"/>
        <v>3277.4102420119739</v>
      </c>
      <c r="AJ112" s="244">
        <f t="shared" si="18"/>
        <v>2930.2688906212584</v>
      </c>
      <c r="AK112" s="244">
        <f t="shared" si="19"/>
        <v>2656.399696184154</v>
      </c>
      <c r="AL112" s="447">
        <f t="shared" si="32"/>
        <v>1740.5958333333331</v>
      </c>
      <c r="AM112" s="244">
        <f t="shared" si="24"/>
        <v>3481.1916666666675</v>
      </c>
      <c r="AN112" s="244"/>
    </row>
    <row r="113" spans="1:40" x14ac:dyDescent="0.2">
      <c r="A113" s="117"/>
      <c r="B113" s="117"/>
      <c r="C113" s="117"/>
      <c r="D113" s="117"/>
      <c r="E113" s="117"/>
      <c r="F113" s="117"/>
      <c r="G113" s="434"/>
      <c r="H113" s="434"/>
      <c r="I113" s="434"/>
      <c r="J113" s="434"/>
      <c r="K113" s="434"/>
      <c r="L113" s="434"/>
      <c r="M113" s="434"/>
      <c r="N113" s="252"/>
      <c r="O113" s="252"/>
      <c r="P113" s="252"/>
      <c r="Q113" s="252"/>
      <c r="R113" s="252"/>
      <c r="T113" s="244">
        <v>4900</v>
      </c>
      <c r="U113" s="244">
        <f t="shared" si="9"/>
        <v>81.376590033250579</v>
      </c>
      <c r="V113" s="244">
        <f t="shared" si="10"/>
        <v>54.813982602711931</v>
      </c>
      <c r="W113" s="244">
        <f t="shared" si="11"/>
        <v>38.194706766703987</v>
      </c>
      <c r="X113" s="244">
        <f t="shared" si="25"/>
        <v>2341.8433919068134</v>
      </c>
      <c r="Y113" s="244">
        <f t="shared" si="26"/>
        <v>1577.4286301478785</v>
      </c>
      <c r="Z113" s="244">
        <f t="shared" si="27"/>
        <v>1099.1615845647552</v>
      </c>
      <c r="AA113" s="244">
        <f t="shared" si="13"/>
        <v>5418.6516001264627</v>
      </c>
      <c r="AB113" s="244">
        <f t="shared" si="14"/>
        <v>4844.7112324938144</v>
      </c>
      <c r="AC113" s="244">
        <f t="shared" si="15"/>
        <v>4391.9141643578014</v>
      </c>
      <c r="AD113" s="446">
        <f t="shared" si="28"/>
        <v>2877.7851111111108</v>
      </c>
      <c r="AE113" s="244">
        <f t="shared" si="16"/>
        <v>5755.5702222222226</v>
      </c>
      <c r="AF113" s="244">
        <f t="shared" si="29"/>
        <v>1416.437535427508</v>
      </c>
      <c r="AG113" s="244">
        <f t="shared" si="30"/>
        <v>954.08989726686195</v>
      </c>
      <c r="AH113" s="244">
        <f t="shared" si="31"/>
        <v>664.81547453513429</v>
      </c>
      <c r="AI113" s="244">
        <f t="shared" si="17"/>
        <v>3277.4102420119739</v>
      </c>
      <c r="AJ113" s="244">
        <f t="shared" si="18"/>
        <v>2930.2688906212584</v>
      </c>
      <c r="AK113" s="244">
        <f t="shared" si="19"/>
        <v>2656.399696184154</v>
      </c>
      <c r="AL113" s="447">
        <f t="shared" si="32"/>
        <v>1740.5958333333331</v>
      </c>
      <c r="AM113" s="244">
        <f t="shared" si="24"/>
        <v>3481.1916666666675</v>
      </c>
      <c r="AN113" s="244"/>
    </row>
    <row r="114" spans="1:40" x14ac:dyDescent="0.2">
      <c r="A114" s="117"/>
      <c r="B114" s="412"/>
      <c r="C114" s="412"/>
      <c r="D114" s="412"/>
      <c r="E114" s="412"/>
      <c r="F114" s="412"/>
      <c r="G114" s="434"/>
      <c r="H114" s="434"/>
      <c r="I114" s="434"/>
      <c r="J114" s="434"/>
      <c r="K114" s="434"/>
      <c r="L114" s="434"/>
      <c r="M114" s="434"/>
      <c r="N114" s="252"/>
      <c r="O114" s="252"/>
      <c r="P114" s="252"/>
      <c r="Q114" s="252"/>
      <c r="R114" s="252"/>
      <c r="T114" s="244">
        <v>5000</v>
      </c>
      <c r="U114" s="244">
        <f t="shared" si="9"/>
        <v>81.035057823397509</v>
      </c>
      <c r="V114" s="244">
        <f t="shared" si="10"/>
        <v>54.145530085032114</v>
      </c>
      <c r="W114" s="244">
        <f t="shared" si="11"/>
        <v>37.451794593915501</v>
      </c>
      <c r="X114" s="244">
        <f t="shared" si="25"/>
        <v>2332.014828822013</v>
      </c>
      <c r="Y114" s="244">
        <f t="shared" si="26"/>
        <v>1558.1920031192412</v>
      </c>
      <c r="Z114" s="244">
        <f t="shared" si="27"/>
        <v>1077.7821686676161</v>
      </c>
      <c r="AA114" s="244">
        <f t="shared" si="13"/>
        <v>5418.6516001264627</v>
      </c>
      <c r="AB114" s="244">
        <f t="shared" si="14"/>
        <v>4844.7112324938144</v>
      </c>
      <c r="AC114" s="244">
        <f t="shared" si="15"/>
        <v>4391.9141643578014</v>
      </c>
      <c r="AD114" s="446">
        <f t="shared" si="28"/>
        <v>2877.7851111111108</v>
      </c>
      <c r="AE114" s="244">
        <f t="shared" si="16"/>
        <v>5755.5702222222226</v>
      </c>
      <c r="AF114" s="244">
        <f t="shared" si="29"/>
        <v>1410.4928400133142</v>
      </c>
      <c r="AG114" s="244">
        <f t="shared" si="30"/>
        <v>942.45484059631531</v>
      </c>
      <c r="AH114" s="244">
        <f t="shared" si="31"/>
        <v>651.88437621025173</v>
      </c>
      <c r="AI114" s="244">
        <f t="shared" si="17"/>
        <v>3277.4102420119739</v>
      </c>
      <c r="AJ114" s="244">
        <f t="shared" si="18"/>
        <v>2930.2688906212584</v>
      </c>
      <c r="AK114" s="244">
        <f t="shared" si="19"/>
        <v>2656.399696184154</v>
      </c>
      <c r="AL114" s="447">
        <f t="shared" si="32"/>
        <v>1740.5958333333331</v>
      </c>
      <c r="AM114" s="244">
        <f t="shared" si="24"/>
        <v>3481.1916666666675</v>
      </c>
      <c r="AN114" s="244"/>
    </row>
    <row r="115" spans="1:40" x14ac:dyDescent="0.2">
      <c r="A115" s="117"/>
      <c r="B115" s="412"/>
      <c r="C115" s="412"/>
      <c r="D115" s="412"/>
      <c r="E115" s="412"/>
      <c r="F115" s="412"/>
      <c r="G115" s="434"/>
      <c r="H115" s="434"/>
      <c r="I115" s="434"/>
      <c r="J115" s="434"/>
      <c r="K115" s="434"/>
      <c r="L115" s="434"/>
      <c r="M115" s="434"/>
      <c r="N115" s="252"/>
      <c r="O115" s="252"/>
      <c r="P115" s="252"/>
      <c r="Q115" s="252"/>
      <c r="R115" s="252"/>
      <c r="T115" s="244">
        <v>5100</v>
      </c>
      <c r="U115" s="244">
        <f t="shared" si="9"/>
        <v>80.69495900182379</v>
      </c>
      <c r="V115" s="244">
        <f t="shared" si="10"/>
        <v>53.485229297023743</v>
      </c>
      <c r="W115" s="244">
        <f t="shared" si="11"/>
        <v>36.723332551608408</v>
      </c>
      <c r="X115" s="244">
        <f t="shared" si="25"/>
        <v>2322.2275155717002</v>
      </c>
      <c r="Y115" s="244">
        <f t="shared" si="26"/>
        <v>1539.1899653533872</v>
      </c>
      <c r="Z115" s="244">
        <f t="shared" si="27"/>
        <v>1056.8185964740069</v>
      </c>
      <c r="AA115" s="244">
        <f t="shared" si="13"/>
        <v>5418.6516001264627</v>
      </c>
      <c r="AB115" s="244">
        <f t="shared" si="14"/>
        <v>4844.7112324938144</v>
      </c>
      <c r="AC115" s="244">
        <f t="shared" si="15"/>
        <v>4391.9141643578014</v>
      </c>
      <c r="AD115" s="446">
        <f t="shared" si="28"/>
        <v>2877.7851111111108</v>
      </c>
      <c r="AE115" s="244">
        <f t="shared" si="16"/>
        <v>5755.5702222222226</v>
      </c>
      <c r="AF115" s="244">
        <f t="shared" si="29"/>
        <v>1404.5730940957862</v>
      </c>
      <c r="AG115" s="244">
        <f t="shared" si="30"/>
        <v>930.96167259277445</v>
      </c>
      <c r="AH115" s="244">
        <f t="shared" si="31"/>
        <v>639.20479625443954</v>
      </c>
      <c r="AI115" s="244">
        <f t="shared" si="17"/>
        <v>3277.4102420119739</v>
      </c>
      <c r="AJ115" s="244">
        <f t="shared" si="18"/>
        <v>2930.2688906212584</v>
      </c>
      <c r="AK115" s="244">
        <f t="shared" si="19"/>
        <v>2656.399696184154</v>
      </c>
      <c r="AL115" s="447">
        <f t="shared" si="32"/>
        <v>1740.5958333333331</v>
      </c>
      <c r="AM115" s="244">
        <f t="shared" si="24"/>
        <v>3481.1916666666675</v>
      </c>
      <c r="AN115" s="244"/>
    </row>
    <row r="116" spans="1:40" x14ac:dyDescent="0.2">
      <c r="A116" s="435"/>
      <c r="B116" s="435"/>
      <c r="C116" s="435"/>
      <c r="D116" s="435"/>
      <c r="E116" s="435"/>
      <c r="F116" s="435"/>
      <c r="G116" s="434"/>
      <c r="H116" s="434"/>
      <c r="I116" s="434"/>
      <c r="J116" s="434"/>
      <c r="K116" s="434"/>
      <c r="L116" s="434"/>
      <c r="M116" s="434"/>
      <c r="N116" s="252"/>
      <c r="O116" s="252"/>
      <c r="P116" s="252"/>
      <c r="Q116" s="252"/>
      <c r="R116" s="252"/>
      <c r="T116" s="244">
        <v>5200</v>
      </c>
      <c r="U116" s="244">
        <f t="shared" si="9"/>
        <v>80.356287552692848</v>
      </c>
      <c r="V116" s="244">
        <f t="shared" si="10"/>
        <v>52.832980828938361</v>
      </c>
      <c r="W116" s="244">
        <f t="shared" si="11"/>
        <v>36.009039575238901</v>
      </c>
      <c r="X116" s="244">
        <f t="shared" si="25"/>
        <v>2312.4812790330257</v>
      </c>
      <c r="Y116" s="244">
        <f t="shared" si="26"/>
        <v>1520.4196560513758</v>
      </c>
      <c r="Z116" s="244">
        <f t="shared" si="27"/>
        <v>1036.2627795503327</v>
      </c>
      <c r="AA116" s="244">
        <f t="shared" si="13"/>
        <v>5418.6516001264627</v>
      </c>
      <c r="AB116" s="244">
        <f t="shared" si="14"/>
        <v>4844.7112324938144</v>
      </c>
      <c r="AC116" s="244">
        <f t="shared" si="15"/>
        <v>4391.9141643578014</v>
      </c>
      <c r="AD116" s="446">
        <f t="shared" si="28"/>
        <v>2877.7851111111108</v>
      </c>
      <c r="AE116" s="244">
        <f t="shared" si="16"/>
        <v>5755.5702222222226</v>
      </c>
      <c r="AF116" s="244">
        <f t="shared" si="29"/>
        <v>1398.6781929635235</v>
      </c>
      <c r="AG116" s="244">
        <f t="shared" si="30"/>
        <v>919.60866293429979</v>
      </c>
      <c r="AH116" s="244">
        <f t="shared" si="31"/>
        <v>626.77184246995921</v>
      </c>
      <c r="AI116" s="244">
        <f t="shared" si="17"/>
        <v>3277.4102420119739</v>
      </c>
      <c r="AJ116" s="244">
        <f t="shared" si="18"/>
        <v>2930.2688906212584</v>
      </c>
      <c r="AK116" s="244">
        <f t="shared" si="19"/>
        <v>2656.399696184154</v>
      </c>
      <c r="AL116" s="447">
        <f t="shared" si="32"/>
        <v>1740.5958333333331</v>
      </c>
      <c r="AM116" s="244">
        <f t="shared" si="24"/>
        <v>3481.1916666666675</v>
      </c>
      <c r="AN116" s="244"/>
    </row>
    <row r="117" spans="1:40" x14ac:dyDescent="0.2">
      <c r="A117" s="435"/>
      <c r="B117" s="435"/>
      <c r="C117" s="435"/>
      <c r="D117" s="435"/>
      <c r="E117" s="435"/>
      <c r="F117" s="435"/>
      <c r="G117" s="434"/>
      <c r="H117" s="434"/>
      <c r="I117" s="434"/>
      <c r="J117" s="434"/>
      <c r="K117" s="434"/>
      <c r="L117" s="434"/>
      <c r="M117" s="434"/>
      <c r="N117" s="252"/>
      <c r="O117" s="252"/>
      <c r="P117" s="252"/>
      <c r="Q117" s="252"/>
      <c r="R117" s="252"/>
      <c r="T117" s="244">
        <v>5300</v>
      </c>
      <c r="U117" s="244">
        <f t="shared" si="9"/>
        <v>80.019037485416177</v>
      </c>
      <c r="V117" s="244">
        <f t="shared" si="10"/>
        <v>52.18868648332213</v>
      </c>
      <c r="W117" s="244">
        <f t="shared" si="11"/>
        <v>35.308640067153448</v>
      </c>
      <c r="X117" s="244">
        <f t="shared" si="25"/>
        <v>2302.7759468097256</v>
      </c>
      <c r="Y117" s="244">
        <f t="shared" si="26"/>
        <v>1501.878249301501</v>
      </c>
      <c r="Z117" s="244">
        <f t="shared" si="27"/>
        <v>1016.106786788354</v>
      </c>
      <c r="AA117" s="244">
        <f t="shared" si="13"/>
        <v>5418.6516001264627</v>
      </c>
      <c r="AB117" s="244">
        <f t="shared" si="14"/>
        <v>4844.7112324938144</v>
      </c>
      <c r="AC117" s="244">
        <f t="shared" si="15"/>
        <v>4391.9141643578014</v>
      </c>
      <c r="AD117" s="446">
        <f t="shared" si="28"/>
        <v>2877.7851111111108</v>
      </c>
      <c r="AE117" s="244">
        <f t="shared" si="16"/>
        <v>5755.5702222222226</v>
      </c>
      <c r="AF117" s="244">
        <f t="shared" si="29"/>
        <v>1392.808032344592</v>
      </c>
      <c r="AG117" s="244">
        <f t="shared" si="30"/>
        <v>908.39410240010136</v>
      </c>
      <c r="AH117" s="244">
        <f t="shared" si="31"/>
        <v>614.58071781553667</v>
      </c>
      <c r="AI117" s="244">
        <f t="shared" si="17"/>
        <v>3277.4102420119739</v>
      </c>
      <c r="AJ117" s="244">
        <f t="shared" si="18"/>
        <v>2930.2688906212584</v>
      </c>
      <c r="AK117" s="244">
        <f t="shared" si="19"/>
        <v>2656.399696184154</v>
      </c>
      <c r="AL117" s="447">
        <f t="shared" si="32"/>
        <v>1740.5958333333331</v>
      </c>
      <c r="AM117" s="244">
        <f t="shared" si="24"/>
        <v>3481.1916666666675</v>
      </c>
      <c r="AN117" s="244"/>
    </row>
    <row r="118" spans="1:40" x14ac:dyDescent="0.2">
      <c r="A118" s="435"/>
      <c r="B118" s="435"/>
      <c r="C118" s="435"/>
      <c r="D118" s="435"/>
      <c r="E118" s="435"/>
      <c r="F118" s="435"/>
      <c r="G118" s="434"/>
      <c r="H118" s="434"/>
      <c r="I118" s="434"/>
      <c r="J118" s="434"/>
      <c r="K118" s="434"/>
      <c r="L118" s="434"/>
      <c r="M118" s="434"/>
      <c r="N118" s="252"/>
      <c r="O118" s="252"/>
      <c r="P118" s="252"/>
      <c r="Q118" s="252"/>
      <c r="R118" s="252"/>
      <c r="T118" s="244">
        <v>5400</v>
      </c>
      <c r="U118" s="244">
        <f t="shared" si="9"/>
        <v>79.683202834547387</v>
      </c>
      <c r="V118" s="244">
        <f t="shared" si="10"/>
        <v>51.552249260232038</v>
      </c>
      <c r="W118" s="244">
        <f t="shared" si="11"/>
        <v>34.621863790254196</v>
      </c>
      <c r="X118" s="244">
        <f t="shared" si="25"/>
        <v>2293.1113472290713</v>
      </c>
      <c r="Y118" s="244">
        <f t="shared" si="26"/>
        <v>1483.5629536538454</v>
      </c>
      <c r="Z118" s="244">
        <f t="shared" si="27"/>
        <v>996.34284134510415</v>
      </c>
      <c r="AA118" s="244">
        <f t="shared" si="13"/>
        <v>5418.6516001264627</v>
      </c>
      <c r="AB118" s="244">
        <f t="shared" si="14"/>
        <v>4844.7112324938144</v>
      </c>
      <c r="AC118" s="244">
        <f t="shared" si="15"/>
        <v>4391.9141643578014</v>
      </c>
      <c r="AD118" s="446">
        <f t="shared" si="28"/>
        <v>2877.7851111111108</v>
      </c>
      <c r="AE118" s="244">
        <f t="shared" si="16"/>
        <v>5755.5702222222226</v>
      </c>
      <c r="AF118" s="244">
        <f t="shared" si="29"/>
        <v>1386.9625084046802</v>
      </c>
      <c r="AG118" s="244">
        <f t="shared" si="30"/>
        <v>897.31630261321288</v>
      </c>
      <c r="AH118" s="244">
        <f t="shared" si="31"/>
        <v>602.6267185555065</v>
      </c>
      <c r="AI118" s="244">
        <f t="shared" si="17"/>
        <v>3277.4102420119739</v>
      </c>
      <c r="AJ118" s="244">
        <f t="shared" si="18"/>
        <v>2930.2688906212584</v>
      </c>
      <c r="AK118" s="244">
        <f t="shared" si="19"/>
        <v>2656.399696184154</v>
      </c>
      <c r="AL118" s="447">
        <f t="shared" si="32"/>
        <v>1740.5958333333331</v>
      </c>
      <c r="AM118" s="244">
        <f t="shared" si="24"/>
        <v>3481.1916666666675</v>
      </c>
      <c r="AN118" s="244"/>
    </row>
    <row r="119" spans="1:40" x14ac:dyDescent="0.2">
      <c r="A119" s="435"/>
      <c r="B119" s="435"/>
      <c r="C119" s="435"/>
      <c r="D119" s="435"/>
      <c r="E119" s="435"/>
      <c r="F119" s="435"/>
      <c r="G119" s="434"/>
      <c r="H119" s="434"/>
      <c r="I119" s="434"/>
      <c r="J119" s="434"/>
      <c r="K119" s="434"/>
      <c r="L119" s="434"/>
      <c r="M119" s="434"/>
      <c r="N119" s="252"/>
      <c r="O119" s="252"/>
      <c r="P119" s="252"/>
      <c r="Q119" s="252"/>
      <c r="R119" s="252"/>
      <c r="T119" s="244">
        <v>5500</v>
      </c>
      <c r="U119" s="244">
        <f t="shared" si="9"/>
        <v>79.348777659676657</v>
      </c>
      <c r="V119" s="244">
        <f t="shared" si="10"/>
        <v>50.923573342632231</v>
      </c>
      <c r="W119" s="244">
        <f t="shared" si="11"/>
        <v>33.948445763732607</v>
      </c>
      <c r="X119" s="244">
        <f t="shared" si="25"/>
        <v>2283.4873093388342</v>
      </c>
      <c r="Y119" s="244">
        <f t="shared" si="26"/>
        <v>1465.471011700017</v>
      </c>
      <c r="Z119" s="244">
        <f t="shared" si="27"/>
        <v>976.96331764232764</v>
      </c>
      <c r="AA119" s="244">
        <f t="shared" si="13"/>
        <v>5418.6516001264627</v>
      </c>
      <c r="AB119" s="244">
        <f t="shared" si="14"/>
        <v>4844.7112324938144</v>
      </c>
      <c r="AC119" s="244">
        <f t="shared" si="15"/>
        <v>4391.9141643578014</v>
      </c>
      <c r="AD119" s="446">
        <f t="shared" si="28"/>
        <v>2877.7851111111108</v>
      </c>
      <c r="AE119" s="244">
        <f t="shared" si="16"/>
        <v>5755.5702222222226</v>
      </c>
      <c r="AF119" s="244">
        <f t="shared" si="29"/>
        <v>1381.1415177452625</v>
      </c>
      <c r="AG119" s="244">
        <f t="shared" si="30"/>
        <v>886.3735957863006</v>
      </c>
      <c r="AH119" s="244">
        <f t="shared" si="31"/>
        <v>590.90523244495625</v>
      </c>
      <c r="AI119" s="244">
        <f t="shared" si="17"/>
        <v>3277.4102420119739</v>
      </c>
      <c r="AJ119" s="244">
        <f t="shared" si="18"/>
        <v>2930.2688906212584</v>
      </c>
      <c r="AK119" s="244">
        <f t="shared" si="19"/>
        <v>2656.399696184154</v>
      </c>
      <c r="AL119" s="447">
        <f t="shared" si="32"/>
        <v>1740.5958333333331</v>
      </c>
      <c r="AM119" s="244">
        <f t="shared" si="24"/>
        <v>3481.1916666666675</v>
      </c>
      <c r="AN119" s="244"/>
    </row>
    <row r="120" spans="1:40" x14ac:dyDescent="0.2">
      <c r="A120" s="435"/>
      <c r="B120" s="435"/>
      <c r="C120" s="435"/>
      <c r="D120" s="435"/>
      <c r="E120" s="435"/>
      <c r="F120" s="435"/>
      <c r="G120" s="435"/>
      <c r="H120" s="435"/>
      <c r="I120" s="435"/>
      <c r="J120" s="117"/>
      <c r="K120" s="252"/>
      <c r="L120" s="252"/>
      <c r="M120" s="252"/>
      <c r="N120" s="252"/>
      <c r="O120" s="252"/>
      <c r="P120" s="252"/>
      <c r="Q120" s="252"/>
      <c r="R120" s="252"/>
      <c r="T120" s="244">
        <v>5600</v>
      </c>
      <c r="U120" s="244">
        <f t="shared" si="9"/>
        <v>79.015756045325702</v>
      </c>
      <c r="V120" s="244">
        <f t="shared" si="10"/>
        <v>50.302564081968683</v>
      </c>
      <c r="W120" s="244">
        <f t="shared" si="11"/>
        <v>33.288126160831169</v>
      </c>
      <c r="X120" s="244">
        <f t="shared" si="25"/>
        <v>2273.9036629042607</v>
      </c>
      <c r="Y120" s="244">
        <f t="shared" si="26"/>
        <v>1447.5996996580202</v>
      </c>
      <c r="Z120" s="244">
        <f t="shared" si="27"/>
        <v>957.960738424282</v>
      </c>
      <c r="AA120" s="244">
        <f t="shared" si="13"/>
        <v>5418.6516001264627</v>
      </c>
      <c r="AB120" s="244">
        <f t="shared" si="14"/>
        <v>4844.7112324938144</v>
      </c>
      <c r="AC120" s="244">
        <f t="shared" si="15"/>
        <v>4391.9141643578014</v>
      </c>
      <c r="AD120" s="446">
        <f t="shared" si="28"/>
        <v>2877.7851111111108</v>
      </c>
      <c r="AE120" s="244">
        <f t="shared" si="16"/>
        <v>5755.5702222222226</v>
      </c>
      <c r="AF120" s="244">
        <f t="shared" si="29"/>
        <v>1375.3449574017704</v>
      </c>
      <c r="AG120" s="244">
        <f t="shared" si="30"/>
        <v>875.56433447057668</v>
      </c>
      <c r="AH120" s="244">
        <f t="shared" si="31"/>
        <v>579.41173695017051</v>
      </c>
      <c r="AI120" s="244">
        <f t="shared" si="17"/>
        <v>3277.4102420119739</v>
      </c>
      <c r="AJ120" s="244">
        <f t="shared" si="18"/>
        <v>2930.2688906212584</v>
      </c>
      <c r="AK120" s="244">
        <f t="shared" si="19"/>
        <v>2656.399696184154</v>
      </c>
      <c r="AL120" s="447">
        <f t="shared" si="32"/>
        <v>1740.5958333333331</v>
      </c>
      <c r="AM120" s="244">
        <f t="shared" si="24"/>
        <v>3481.1916666666675</v>
      </c>
      <c r="AN120" s="244"/>
    </row>
    <row r="121" spans="1:40" x14ac:dyDescent="0.2">
      <c r="A121" s="435"/>
      <c r="B121" s="435"/>
      <c r="C121" s="435"/>
      <c r="D121" s="435"/>
      <c r="E121" s="435"/>
      <c r="F121" s="435"/>
      <c r="G121" s="435"/>
      <c r="H121" s="435"/>
      <c r="I121" s="435"/>
      <c r="J121" s="117"/>
      <c r="K121" s="252"/>
      <c r="L121" s="252"/>
      <c r="M121" s="252"/>
      <c r="N121" s="252"/>
      <c r="O121" s="252"/>
      <c r="P121" s="252"/>
      <c r="Q121" s="252"/>
      <c r="R121" s="252"/>
      <c r="T121" s="244">
        <v>5700</v>
      </c>
      <c r="U121" s="244">
        <f t="shared" si="9"/>
        <v>78.684132100843101</v>
      </c>
      <c r="V121" s="244">
        <f t="shared" si="10"/>
        <v>49.689127983919526</v>
      </c>
      <c r="W121" s="244">
        <f t="shared" si="11"/>
        <v>32.640650208593762</v>
      </c>
      <c r="X121" s="244">
        <f t="shared" si="25"/>
        <v>2264.360238405061</v>
      </c>
      <c r="Y121" s="244">
        <f t="shared" si="26"/>
        <v>1429.9463269621806</v>
      </c>
      <c r="Z121" s="244">
        <f t="shared" si="27"/>
        <v>939.32777187276906</v>
      </c>
      <c r="AA121" s="244">
        <f t="shared" si="13"/>
        <v>5418.6516001264627</v>
      </c>
      <c r="AB121" s="244">
        <f t="shared" si="14"/>
        <v>4844.7112324938144</v>
      </c>
      <c r="AC121" s="244">
        <f t="shared" si="15"/>
        <v>4391.9141643578014</v>
      </c>
      <c r="AD121" s="446">
        <f t="shared" si="28"/>
        <v>2877.7851111111108</v>
      </c>
      <c r="AE121" s="244">
        <f t="shared" si="16"/>
        <v>5755.5702222222226</v>
      </c>
      <c r="AF121" s="244">
        <f t="shared" si="29"/>
        <v>1369.5727248417707</v>
      </c>
      <c r="AG121" s="244">
        <f t="shared" si="30"/>
        <v>864.88689130777038</v>
      </c>
      <c r="AH121" s="244">
        <f t="shared" si="31"/>
        <v>568.1417975036909</v>
      </c>
      <c r="AI121" s="244">
        <f t="shared" si="17"/>
        <v>3277.4102420119739</v>
      </c>
      <c r="AJ121" s="244">
        <f t="shared" si="18"/>
        <v>2930.2688906212584</v>
      </c>
      <c r="AK121" s="244">
        <f t="shared" si="19"/>
        <v>2656.399696184154</v>
      </c>
      <c r="AL121" s="447">
        <f t="shared" si="32"/>
        <v>1740.5958333333331</v>
      </c>
      <c r="AM121" s="244">
        <f t="shared" si="24"/>
        <v>3481.1916666666675</v>
      </c>
      <c r="AN121" s="244"/>
    </row>
    <row r="122" spans="1:40" x14ac:dyDescent="0.2">
      <c r="A122" s="435"/>
      <c r="B122" s="435"/>
      <c r="C122" s="435"/>
      <c r="D122" s="435"/>
      <c r="E122" s="435"/>
      <c r="F122" s="435"/>
      <c r="G122" s="435"/>
      <c r="H122" s="435"/>
      <c r="I122" s="435"/>
      <c r="J122" s="117"/>
      <c r="K122" s="252"/>
      <c r="L122" s="252"/>
      <c r="M122" s="252"/>
      <c r="N122" s="252"/>
      <c r="O122" s="252"/>
      <c r="P122" s="252"/>
      <c r="Q122" s="252"/>
      <c r="R122" s="252"/>
      <c r="T122" s="244">
        <v>5800</v>
      </c>
      <c r="U122" s="244">
        <f t="shared" si="9"/>
        <v>78.353899960300083</v>
      </c>
      <c r="V122" s="244">
        <f t="shared" si="10"/>
        <v>49.083172694319344</v>
      </c>
      <c r="W122" s="244">
        <f t="shared" si="11"/>
        <v>32.005768089565834</v>
      </c>
      <c r="X122" s="244">
        <f t="shared" si="25"/>
        <v>2254.8568670324107</v>
      </c>
      <c r="Y122" s="244">
        <f t="shared" si="26"/>
        <v>1412.5082358580764</v>
      </c>
      <c r="Z122" s="244">
        <f t="shared" si="27"/>
        <v>921.05722877827657</v>
      </c>
      <c r="AA122" s="244">
        <f t="shared" si="13"/>
        <v>5418.6516001264627</v>
      </c>
      <c r="AB122" s="244">
        <f t="shared" si="14"/>
        <v>4844.7112324938144</v>
      </c>
      <c r="AC122" s="244">
        <f t="shared" si="15"/>
        <v>4391.9141643578014</v>
      </c>
      <c r="AD122" s="446">
        <f t="shared" si="28"/>
        <v>2877.7851111111108</v>
      </c>
      <c r="AE122" s="244">
        <f t="shared" si="16"/>
        <v>5755.5702222222226</v>
      </c>
      <c r="AF122" s="244">
        <f t="shared" si="29"/>
        <v>1363.8247179631514</v>
      </c>
      <c r="AG122" s="244">
        <f t="shared" si="30"/>
        <v>854.33965878512686</v>
      </c>
      <c r="AH122" s="244">
        <f t="shared" si="31"/>
        <v>557.0910657933124</v>
      </c>
      <c r="AI122" s="244">
        <f t="shared" si="17"/>
        <v>3277.4102420119739</v>
      </c>
      <c r="AJ122" s="244">
        <f t="shared" si="18"/>
        <v>2930.2688906212584</v>
      </c>
      <c r="AK122" s="244">
        <f t="shared" si="19"/>
        <v>2656.399696184154</v>
      </c>
      <c r="AL122" s="447">
        <f t="shared" si="32"/>
        <v>1740.5958333333331</v>
      </c>
      <c r="AM122" s="244">
        <f t="shared" si="24"/>
        <v>3481.1916666666675</v>
      </c>
      <c r="AN122" s="244"/>
    </row>
    <row r="123" spans="1:40" x14ac:dyDescent="0.2">
      <c r="A123" s="435"/>
      <c r="B123" s="435"/>
      <c r="C123" s="435"/>
      <c r="D123" s="435"/>
      <c r="E123" s="435"/>
      <c r="F123" s="435"/>
      <c r="G123" s="435"/>
      <c r="H123" s="435"/>
      <c r="I123" s="435"/>
      <c r="J123" s="117"/>
      <c r="K123" s="252"/>
      <c r="L123" s="252"/>
      <c r="M123" s="252"/>
      <c r="N123" s="252"/>
      <c r="O123" s="252"/>
      <c r="P123" s="252"/>
      <c r="Q123" s="252"/>
      <c r="R123" s="252"/>
      <c r="T123" s="244">
        <v>5900</v>
      </c>
      <c r="U123" s="244">
        <f t="shared" si="9"/>
        <v>78.025053782386834</v>
      </c>
      <c r="V123" s="244">
        <f t="shared" si="10"/>
        <v>48.484606985255041</v>
      </c>
      <c r="W123" s="244">
        <f t="shared" si="11"/>
        <v>31.383234845406676</v>
      </c>
      <c r="X123" s="244">
        <f t="shared" si="25"/>
        <v>2245.393380685965</v>
      </c>
      <c r="Y123" s="244">
        <f t="shared" si="26"/>
        <v>1395.2828010024073</v>
      </c>
      <c r="Z123" s="244">
        <f t="shared" si="27"/>
        <v>903.14205976614744</v>
      </c>
      <c r="AA123" s="244">
        <f t="shared" si="13"/>
        <v>5418.6516001264627</v>
      </c>
      <c r="AB123" s="244">
        <f t="shared" si="14"/>
        <v>4844.7112324938144</v>
      </c>
      <c r="AC123" s="244">
        <f t="shared" si="15"/>
        <v>4391.9141643578014</v>
      </c>
      <c r="AD123" s="446">
        <f t="shared" si="28"/>
        <v>2877.7851111111108</v>
      </c>
      <c r="AE123" s="244">
        <f t="shared" si="16"/>
        <v>5755.5702222222226</v>
      </c>
      <c r="AF123" s="244">
        <f t="shared" si="29"/>
        <v>1358.1008350923175</v>
      </c>
      <c r="AG123" s="244">
        <f t="shared" si="30"/>
        <v>843.92104899339142</v>
      </c>
      <c r="AH123" s="244">
        <f t="shared" si="31"/>
        <v>546.25527808436334</v>
      </c>
      <c r="AI123" s="244">
        <f t="shared" si="17"/>
        <v>3277.4102420119739</v>
      </c>
      <c r="AJ123" s="244">
        <f t="shared" si="18"/>
        <v>2930.2688906212584</v>
      </c>
      <c r="AK123" s="244">
        <f t="shared" si="19"/>
        <v>2656.399696184154</v>
      </c>
      <c r="AL123" s="447">
        <f t="shared" si="32"/>
        <v>1740.5958333333331</v>
      </c>
      <c r="AM123" s="244">
        <f t="shared" si="24"/>
        <v>3481.1916666666675</v>
      </c>
      <c r="AN123" s="244"/>
    </row>
    <row r="124" spans="1:40" x14ac:dyDescent="0.2">
      <c r="A124" s="435"/>
      <c r="B124" s="435"/>
      <c r="C124" s="435"/>
      <c r="D124" s="435"/>
      <c r="E124" s="435"/>
      <c r="F124" s="435"/>
      <c r="G124" s="435"/>
      <c r="H124" s="435"/>
      <c r="I124" s="435"/>
      <c r="J124" s="117"/>
      <c r="K124" s="252"/>
      <c r="L124" s="252"/>
      <c r="M124" s="252"/>
      <c r="N124" s="252"/>
      <c r="O124" s="252"/>
      <c r="P124" s="252"/>
      <c r="Q124" s="252"/>
      <c r="R124" s="252"/>
      <c r="T124" s="244">
        <v>6000</v>
      </c>
      <c r="U124" s="244">
        <f t="shared" si="9"/>
        <v>77.697587750309125</v>
      </c>
      <c r="V124" s="244">
        <f t="shared" si="10"/>
        <v>47.893340741331237</v>
      </c>
      <c r="W124" s="244">
        <f t="shared" si="11"/>
        <v>30.772810282376462</v>
      </c>
      <c r="X124" s="244">
        <f t="shared" si="25"/>
        <v>2235.969611970886</v>
      </c>
      <c r="Y124" s="244">
        <f t="shared" si="26"/>
        <v>1378.2674290677419</v>
      </c>
      <c r="Z124" s="244">
        <f t="shared" si="27"/>
        <v>885.57535257669883</v>
      </c>
      <c r="AA124" s="244">
        <f t="shared" si="13"/>
        <v>5418.6516001264627</v>
      </c>
      <c r="AB124" s="244">
        <f t="shared" si="14"/>
        <v>4844.7112324938144</v>
      </c>
      <c r="AC124" s="244">
        <f t="shared" si="15"/>
        <v>4391.9141643578014</v>
      </c>
      <c r="AD124" s="446">
        <f t="shared" si="28"/>
        <v>2877.7851111111108</v>
      </c>
      <c r="AE124" s="244">
        <f t="shared" si="16"/>
        <v>5755.5702222222226</v>
      </c>
      <c r="AF124" s="244">
        <f t="shared" si="29"/>
        <v>1352.4009749823908</v>
      </c>
      <c r="AG124" s="244">
        <f t="shared" si="30"/>
        <v>833.62949338774717</v>
      </c>
      <c r="AH124" s="244">
        <f t="shared" si="31"/>
        <v>535.63025357461618</v>
      </c>
      <c r="AI124" s="244">
        <f t="shared" si="17"/>
        <v>3277.4102420119739</v>
      </c>
      <c r="AJ124" s="244">
        <f t="shared" si="18"/>
        <v>2930.2688906212584</v>
      </c>
      <c r="AK124" s="244">
        <f t="shared" si="19"/>
        <v>2656.399696184154</v>
      </c>
      <c r="AL124" s="447">
        <f t="shared" si="32"/>
        <v>1740.5958333333331</v>
      </c>
      <c r="AM124" s="244">
        <f t="shared" si="24"/>
        <v>3481.1916666666675</v>
      </c>
      <c r="AN124" s="244"/>
    </row>
    <row r="125" spans="1:40" x14ac:dyDescent="0.2">
      <c r="A125" s="435"/>
      <c r="B125" s="435"/>
      <c r="C125" s="435"/>
      <c r="D125" s="435"/>
      <c r="E125" s="435"/>
      <c r="F125" s="435"/>
      <c r="G125" s="435"/>
      <c r="H125" s="435"/>
      <c r="I125" s="435"/>
      <c r="J125" s="117"/>
      <c r="K125" s="252"/>
      <c r="L125" s="252"/>
      <c r="M125" s="252"/>
      <c r="N125" s="252"/>
      <c r="O125" s="252"/>
      <c r="P125" s="252"/>
      <c r="Q125" s="252"/>
      <c r="R125" s="252"/>
      <c r="T125" s="244">
        <v>6100</v>
      </c>
      <c r="U125" s="244">
        <f t="shared" si="9"/>
        <v>77.371496071685414</v>
      </c>
      <c r="V125" s="244">
        <f t="shared" si="10"/>
        <v>47.309284946103247</v>
      </c>
      <c r="W125" s="244">
        <f t="shared" si="11"/>
        <v>30.174258878661604</v>
      </c>
      <c r="X125" s="244">
        <f t="shared" si="25"/>
        <v>2226.5853941948808</v>
      </c>
      <c r="Y125" s="244">
        <f t="shared" si="26"/>
        <v>1361.4595583520893</v>
      </c>
      <c r="Z125" s="244">
        <f t="shared" si="27"/>
        <v>868.35032939824612</v>
      </c>
      <c r="AA125" s="244">
        <f t="shared" si="13"/>
        <v>5418.6516001264627</v>
      </c>
      <c r="AB125" s="244">
        <f t="shared" si="14"/>
        <v>4844.7112324938144</v>
      </c>
      <c r="AC125" s="244">
        <f t="shared" si="15"/>
        <v>4391.9141643578014</v>
      </c>
      <c r="AD125" s="446">
        <f t="shared" si="28"/>
        <v>2877.7851111111108</v>
      </c>
      <c r="AE125" s="244">
        <f t="shared" si="16"/>
        <v>5755.5702222222226</v>
      </c>
      <c r="AF125" s="244">
        <f t="shared" si="29"/>
        <v>1346.7250368114196</v>
      </c>
      <c r="AG125" s="244">
        <f t="shared" si="30"/>
        <v>823.46344255166696</v>
      </c>
      <c r="AH125" s="244">
        <f t="shared" si="31"/>
        <v>525.21189278119721</v>
      </c>
      <c r="AI125" s="244">
        <f t="shared" si="17"/>
        <v>3277.4102420119739</v>
      </c>
      <c r="AJ125" s="244">
        <f t="shared" si="18"/>
        <v>2930.2688906212584</v>
      </c>
      <c r="AK125" s="244">
        <f t="shared" si="19"/>
        <v>2656.399696184154</v>
      </c>
      <c r="AL125" s="447">
        <f t="shared" si="32"/>
        <v>1740.5958333333331</v>
      </c>
      <c r="AM125" s="244">
        <f t="shared" si="24"/>
        <v>3481.1916666666675</v>
      </c>
      <c r="AN125" s="244"/>
    </row>
    <row r="126" spans="1:40" x14ac:dyDescent="0.2">
      <c r="A126" s="435"/>
      <c r="B126" s="435"/>
      <c r="C126" s="435"/>
      <c r="D126" s="435"/>
      <c r="E126" s="435"/>
      <c r="F126" s="435"/>
      <c r="G126" s="435"/>
      <c r="H126" s="435"/>
      <c r="I126" s="435"/>
      <c r="J126" s="117"/>
      <c r="K126" s="252"/>
      <c r="L126" s="252"/>
      <c r="M126" s="252"/>
      <c r="N126" s="252"/>
      <c r="O126" s="252"/>
      <c r="P126" s="252"/>
      <c r="Q126" s="252"/>
      <c r="R126" s="252"/>
      <c r="T126" s="244">
        <v>6200</v>
      </c>
      <c r="U126" s="244">
        <f t="shared" si="9"/>
        <v>77.046772978444437</v>
      </c>
      <c r="V126" s="244">
        <f t="shared" si="10"/>
        <v>46.732351668675427</v>
      </c>
      <c r="W126" s="244">
        <f t="shared" si="11"/>
        <v>29.587349693502716</v>
      </c>
      <c r="X126" s="244">
        <f t="shared" si="25"/>
        <v>2217.2405613652527</v>
      </c>
      <c r="Y126" s="244">
        <f t="shared" si="26"/>
        <v>1344.8566583932261</v>
      </c>
      <c r="Z126" s="244">
        <f t="shared" si="27"/>
        <v>851.46034425200003</v>
      </c>
      <c r="AA126" s="244">
        <f t="shared" si="13"/>
        <v>5418.6516001264627</v>
      </c>
      <c r="AB126" s="244">
        <f t="shared" si="14"/>
        <v>4844.7112324938144</v>
      </c>
      <c r="AC126" s="244">
        <f t="shared" si="15"/>
        <v>4391.9141643578014</v>
      </c>
      <c r="AD126" s="446">
        <f t="shared" si="28"/>
        <v>2877.7851111111108</v>
      </c>
      <c r="AE126" s="244">
        <f t="shared" si="16"/>
        <v>5755.5702222222226</v>
      </c>
      <c r="AF126" s="244">
        <f t="shared" si="29"/>
        <v>1341.0729201805962</v>
      </c>
      <c r="AG126" s="244">
        <f t="shared" si="30"/>
        <v>813.4213659636448</v>
      </c>
      <c r="AH126" s="244">
        <f t="shared" si="31"/>
        <v>514.99617595887094</v>
      </c>
      <c r="AI126" s="244">
        <f t="shared" si="17"/>
        <v>3277.4102420119739</v>
      </c>
      <c r="AJ126" s="244">
        <f t="shared" si="18"/>
        <v>2930.2688906212584</v>
      </c>
      <c r="AK126" s="244">
        <f t="shared" si="19"/>
        <v>2656.399696184154</v>
      </c>
      <c r="AL126" s="447">
        <f t="shared" si="32"/>
        <v>1740.5958333333331</v>
      </c>
      <c r="AM126" s="244">
        <f t="shared" si="24"/>
        <v>3481.1916666666675</v>
      </c>
      <c r="AN126" s="244"/>
    </row>
    <row r="127" spans="1:40" x14ac:dyDescent="0.2">
      <c r="A127" s="435"/>
      <c r="B127" s="435"/>
      <c r="C127" s="435"/>
      <c r="D127" s="435"/>
      <c r="E127" s="435"/>
      <c r="F127" s="435"/>
      <c r="G127" s="435"/>
      <c r="H127" s="435"/>
      <c r="I127" s="435"/>
      <c r="J127" s="117"/>
      <c r="K127" s="252"/>
      <c r="L127" s="252"/>
      <c r="M127" s="252"/>
      <c r="N127" s="252"/>
      <c r="O127" s="252"/>
      <c r="P127" s="252"/>
      <c r="Q127" s="252"/>
      <c r="R127" s="252"/>
      <c r="T127" s="244">
        <v>6300</v>
      </c>
      <c r="U127" s="244">
        <f t="shared" si="9"/>
        <v>76.723412726723112</v>
      </c>
      <c r="V127" s="244">
        <f t="shared" si="10"/>
        <v>46.162454050462969</v>
      </c>
      <c r="W127" s="244">
        <f t="shared" si="11"/>
        <v>29.011856278090132</v>
      </c>
      <c r="X127" s="244">
        <f t="shared" si="25"/>
        <v>2207.9349481859649</v>
      </c>
      <c r="Y127" s="244">
        <f t="shared" si="26"/>
        <v>1328.4562295877313</v>
      </c>
      <c r="Z127" s="244">
        <f t="shared" si="27"/>
        <v>834.89888042783195</v>
      </c>
      <c r="AA127" s="244">
        <f t="shared" si="13"/>
        <v>5418.6516001264627</v>
      </c>
      <c r="AB127" s="244">
        <f t="shared" si="14"/>
        <v>4844.7112324938144</v>
      </c>
      <c r="AC127" s="244">
        <f t="shared" si="15"/>
        <v>4391.9141643578014</v>
      </c>
      <c r="AD127" s="446">
        <f t="shared" si="28"/>
        <v>2877.7851111111108</v>
      </c>
      <c r="AE127" s="244">
        <f t="shared" si="16"/>
        <v>5755.5702222222226</v>
      </c>
      <c r="AF127" s="244">
        <f t="shared" si="29"/>
        <v>1335.4445251124787</v>
      </c>
      <c r="AG127" s="244">
        <f t="shared" si="30"/>
        <v>803.50175176677294</v>
      </c>
      <c r="AH127" s="244">
        <f t="shared" si="31"/>
        <v>504.97916154909188</v>
      </c>
      <c r="AI127" s="244">
        <f t="shared" si="17"/>
        <v>3277.4102420119739</v>
      </c>
      <c r="AJ127" s="244">
        <f t="shared" si="18"/>
        <v>2930.2688906212584</v>
      </c>
      <c r="AK127" s="244">
        <f t="shared" si="19"/>
        <v>2656.399696184154</v>
      </c>
      <c r="AL127" s="447">
        <f t="shared" si="32"/>
        <v>1740.5958333333331</v>
      </c>
      <c r="AM127" s="244">
        <f t="shared" si="24"/>
        <v>3481.1916666666675</v>
      </c>
      <c r="AN127" s="244"/>
    </row>
    <row r="128" spans="1:40" x14ac:dyDescent="0.2">
      <c r="A128" s="435"/>
      <c r="B128" s="435"/>
      <c r="C128" s="435"/>
      <c r="D128" s="435"/>
      <c r="E128" s="435"/>
      <c r="F128" s="435"/>
      <c r="G128" s="435"/>
      <c r="H128" s="435"/>
      <c r="I128" s="435"/>
      <c r="J128" s="117"/>
      <c r="K128" s="252"/>
      <c r="L128" s="252"/>
      <c r="M128" s="252"/>
      <c r="N128" s="252"/>
      <c r="O128" s="252"/>
      <c r="P128" s="252"/>
      <c r="Q128" s="252"/>
      <c r="R128" s="252"/>
      <c r="T128" s="244">
        <v>6400</v>
      </c>
      <c r="U128" s="244">
        <f t="shared" si="9"/>
        <v>76.401409596764964</v>
      </c>
      <c r="V128" s="244">
        <f t="shared" si="10"/>
        <v>45.599506292115194</v>
      </c>
      <c r="W128" s="244">
        <f t="shared" si="11"/>
        <v>28.447556588192462</v>
      </c>
      <c r="X128" s="244">
        <f t="shared" ref="X128:X164" si="33">U128*($E$36+$U$29)/100</f>
        <v>2198.6683900547177</v>
      </c>
      <c r="Y128" s="244">
        <f t="shared" ref="Y128:Y164" si="34">V128*($E$36+$U$29)/100</f>
        <v>1312.255802814665</v>
      </c>
      <c r="Z128" s="244">
        <f t="shared" ref="Z128:Z164" si="35">W128*($E$36+$U$29)/100</f>
        <v>818.65954796991059</v>
      </c>
      <c r="AA128" s="244">
        <f t="shared" si="13"/>
        <v>5418.6516001264627</v>
      </c>
      <c r="AB128" s="244">
        <f t="shared" si="14"/>
        <v>4844.7112324938144</v>
      </c>
      <c r="AC128" s="244">
        <f t="shared" si="15"/>
        <v>4391.9141643578014</v>
      </c>
      <c r="AD128" s="446">
        <f t="shared" ref="AD128:AD164" si="36">($E$36+$U$29)</f>
        <v>2877.7851111111108</v>
      </c>
      <c r="AE128" s="244">
        <f t="shared" si="16"/>
        <v>5755.5702222222226</v>
      </c>
      <c r="AF128" s="244">
        <f t="shared" ref="AF128:AF164" si="37">U128*($E$37)/100</f>
        <v>1329.8397520492244</v>
      </c>
      <c r="AG128" s="244">
        <f t="shared" ref="AG128:AG164" si="38">V128*($E$37)/100</f>
        <v>793.70310654112802</v>
      </c>
      <c r="AH128" s="244">
        <f t="shared" ref="AH128:AH164" si="39">W128*($E$37)/100</f>
        <v>495.15698465922009</v>
      </c>
      <c r="AI128" s="244">
        <f t="shared" si="17"/>
        <v>3277.4102420119739</v>
      </c>
      <c r="AJ128" s="244">
        <f t="shared" si="18"/>
        <v>2930.2688906212584</v>
      </c>
      <c r="AK128" s="244">
        <f t="shared" si="19"/>
        <v>2656.399696184154</v>
      </c>
      <c r="AL128" s="447">
        <f t="shared" ref="AL128:AL164" si="40">$E$37</f>
        <v>1740.5958333333331</v>
      </c>
      <c r="AM128" s="244">
        <f t="shared" si="24"/>
        <v>3481.1916666666675</v>
      </c>
      <c r="AN128" s="244"/>
    </row>
    <row r="129" spans="1:40" x14ac:dyDescent="0.2">
      <c r="A129" s="435"/>
      <c r="B129" s="435"/>
      <c r="C129" s="435"/>
      <c r="D129" s="435"/>
      <c r="E129" s="435"/>
      <c r="F129" s="435"/>
      <c r="G129" s="435"/>
      <c r="H129" s="435"/>
      <c r="I129" s="435"/>
      <c r="J129" s="117"/>
      <c r="K129" s="252"/>
      <c r="L129" s="252"/>
      <c r="M129" s="252"/>
      <c r="N129" s="252"/>
      <c r="O129" s="252"/>
      <c r="P129" s="252"/>
      <c r="Q129" s="252"/>
      <c r="R129" s="252"/>
      <c r="T129" s="244">
        <v>6500</v>
      </c>
      <c r="U129" s="244">
        <f t="shared" ref="U129:U164" si="41">100*EXP($L$80*$T129)</f>
        <v>76.080757892819022</v>
      </c>
      <c r="V129" s="244">
        <f t="shared" ref="V129:V164" si="42">100*EXP($M$80*$T129)</f>
        <v>45.043423640598228</v>
      </c>
      <c r="W129" s="244">
        <f t="shared" ref="W129:W164" si="43">100*EXP($N$80*$T129)</f>
        <v>27.894232898484734</v>
      </c>
      <c r="X129" s="244">
        <f t="shared" si="33"/>
        <v>2189.4407230600373</v>
      </c>
      <c r="Y129" s="244">
        <f t="shared" si="34"/>
        <v>1296.2529390638381</v>
      </c>
      <c r="Z129" s="244">
        <f t="shared" si="35"/>
        <v>802.73608121125096</v>
      </c>
      <c r="AA129" s="244">
        <f t="shared" si="13"/>
        <v>5418.6516001264627</v>
      </c>
      <c r="AB129" s="244">
        <f t="shared" si="14"/>
        <v>4844.7112324938144</v>
      </c>
      <c r="AC129" s="244">
        <f t="shared" si="15"/>
        <v>4391.9141643578014</v>
      </c>
      <c r="AD129" s="446">
        <f t="shared" si="36"/>
        <v>2877.7851111111108</v>
      </c>
      <c r="AE129" s="244">
        <f t="shared" si="16"/>
        <v>5755.5702222222226</v>
      </c>
      <c r="AF129" s="244">
        <f t="shared" si="37"/>
        <v>1324.2585018508287</v>
      </c>
      <c r="AG129" s="244">
        <f t="shared" si="38"/>
        <v>784.02395507893425</v>
      </c>
      <c r="AH129" s="244">
        <f t="shared" si="39"/>
        <v>485.52585557132107</v>
      </c>
      <c r="AI129" s="244">
        <f t="shared" si="17"/>
        <v>3277.4102420119739</v>
      </c>
      <c r="AJ129" s="244">
        <f t="shared" si="18"/>
        <v>2930.2688906212584</v>
      </c>
      <c r="AK129" s="244">
        <f t="shared" si="19"/>
        <v>2656.399696184154</v>
      </c>
      <c r="AL129" s="447">
        <f t="shared" si="40"/>
        <v>1740.5958333333331</v>
      </c>
      <c r="AM129" s="244">
        <f t="shared" si="24"/>
        <v>3481.1916666666675</v>
      </c>
      <c r="AN129" s="244"/>
    </row>
    <row r="130" spans="1:40" x14ac:dyDescent="0.2">
      <c r="A130" s="435"/>
      <c r="B130" s="435"/>
      <c r="C130" s="435"/>
      <c r="D130" s="435"/>
      <c r="E130" s="435"/>
      <c r="F130" s="435"/>
      <c r="G130" s="435"/>
      <c r="H130" s="435"/>
      <c r="I130" s="435"/>
      <c r="J130" s="117"/>
      <c r="K130" s="252"/>
      <c r="L130" s="252"/>
      <c r="M130" s="252"/>
      <c r="N130" s="252"/>
      <c r="O130" s="252"/>
      <c r="P130" s="252"/>
      <c r="Q130" s="252"/>
      <c r="R130" s="252"/>
      <c r="T130" s="244">
        <v>6600</v>
      </c>
      <c r="U130" s="244">
        <f t="shared" si="41"/>
        <v>75.761451943038949</v>
      </c>
      <c r="V130" s="244">
        <f t="shared" si="42"/>
        <v>44.494122376435271</v>
      </c>
      <c r="W130" s="244">
        <f t="shared" si="43"/>
        <v>27.351671718542736</v>
      </c>
      <c r="X130" s="244">
        <f t="shared" si="33"/>
        <v>2180.2517839783741</v>
      </c>
      <c r="Y130" s="244">
        <f t="shared" si="34"/>
        <v>1280.4452290686113</v>
      </c>
      <c r="Z130" s="244">
        <f t="shared" si="35"/>
        <v>787.12233635621135</v>
      </c>
      <c r="AA130" s="244">
        <f t="shared" ref="AA130:AA164" si="44">IF(T130&lt;$Y$58*$Y$57,AA129+X130*100/1000*$Y$59,AA129)</f>
        <v>5418.6516001264627</v>
      </c>
      <c r="AB130" s="244">
        <f t="shared" ref="AB130:AB164" si="45">IF(T130&lt;$Y$58*$Y$57,AB129+Y130*100/1000*$Y$59,AB129)</f>
        <v>4844.7112324938144</v>
      </c>
      <c r="AC130" s="244">
        <f t="shared" ref="AC130:AC164" si="46">IF(T130&lt;$Y$58*$Y$57,AC129+Z130*100/1000*$Y$59,AC129)</f>
        <v>4391.9141643578014</v>
      </c>
      <c r="AD130" s="446">
        <f t="shared" si="36"/>
        <v>2877.7851111111108</v>
      </c>
      <c r="AE130" s="244">
        <f t="shared" ref="AE130:AE164" si="47">IF(T130&lt;$Y$58*$Y$57,AE129+AD130*100/1000*$Y$59,AE129)</f>
        <v>5755.5702222222226</v>
      </c>
      <c r="AF130" s="244">
        <f t="shared" si="37"/>
        <v>1318.7006757933714</v>
      </c>
      <c r="AG130" s="244">
        <f t="shared" si="38"/>
        <v>774.46284016246659</v>
      </c>
      <c r="AH130" s="244">
        <f t="shared" si="39"/>
        <v>476.08205827996653</v>
      </c>
      <c r="AI130" s="244">
        <f t="shared" ref="AI130:AI164" si="48">IF(T130&lt;$Y$58*$Z$57,AI129+AF130*100/1000*$AB$59,AI129)</f>
        <v>3277.4102420119739</v>
      </c>
      <c r="AJ130" s="244">
        <f t="shared" ref="AJ130:AJ164" si="49">IF(T130&lt;$Y$58*$Z$57,AJ129+AG130*100/1000*$AB$59,AJ129)</f>
        <v>2930.2688906212584</v>
      </c>
      <c r="AK130" s="244">
        <f t="shared" ref="AK130:AK164" si="50">IF(T130&lt;$Y$58*$Z$57,AK129+AH130*100/1000*$AB$59,AK129)</f>
        <v>2656.399696184154</v>
      </c>
      <c r="AL130" s="447">
        <f t="shared" si="40"/>
        <v>1740.5958333333331</v>
      </c>
      <c r="AM130" s="244">
        <f t="shared" si="24"/>
        <v>3481.1916666666675</v>
      </c>
      <c r="AN130" s="244"/>
    </row>
    <row r="131" spans="1:40" x14ac:dyDescent="0.2">
      <c r="A131" s="435"/>
      <c r="B131" s="435"/>
      <c r="C131" s="435"/>
      <c r="D131" s="435"/>
      <c r="E131" s="435"/>
      <c r="F131" s="435"/>
      <c r="G131" s="435"/>
      <c r="H131" s="435"/>
      <c r="I131" s="435"/>
      <c r="J131" s="117"/>
      <c r="K131" s="252"/>
      <c r="L131" s="252"/>
      <c r="M131" s="252"/>
      <c r="N131" s="252"/>
      <c r="O131" s="252"/>
      <c r="P131" s="252"/>
      <c r="Q131" s="252"/>
      <c r="R131" s="252"/>
      <c r="T131" s="244">
        <v>6700</v>
      </c>
      <c r="U131" s="244">
        <f t="shared" si="41"/>
        <v>75.443486099382795</v>
      </c>
      <c r="V131" s="244">
        <f t="shared" si="42"/>
        <v>43.951519801102407</v>
      </c>
      <c r="W131" s="244">
        <f t="shared" si="43"/>
        <v>26.819663710471481</v>
      </c>
      <c r="X131" s="244">
        <f t="shared" si="33"/>
        <v>2171.1014102712188</v>
      </c>
      <c r="Y131" s="244">
        <f t="shared" si="34"/>
        <v>1264.8302929431768</v>
      </c>
      <c r="Z131" s="244">
        <f t="shared" si="35"/>
        <v>771.81228911001801</v>
      </c>
      <c r="AA131" s="244">
        <f t="shared" si="44"/>
        <v>5418.6516001264627</v>
      </c>
      <c r="AB131" s="244">
        <f t="shared" si="45"/>
        <v>4844.7112324938144</v>
      </c>
      <c r="AC131" s="244">
        <f t="shared" si="46"/>
        <v>4391.9141643578014</v>
      </c>
      <c r="AD131" s="446">
        <f t="shared" si="36"/>
        <v>2877.7851111111108</v>
      </c>
      <c r="AE131" s="244">
        <f t="shared" si="47"/>
        <v>5755.5702222222226</v>
      </c>
      <c r="AF131" s="244">
        <f t="shared" si="37"/>
        <v>1313.1661755672694</v>
      </c>
      <c r="AG131" s="244">
        <f t="shared" si="38"/>
        <v>765.01832234466337</v>
      </c>
      <c r="AH131" s="244">
        <f t="shared" si="39"/>
        <v>466.82194905847859</v>
      </c>
      <c r="AI131" s="244">
        <f t="shared" si="48"/>
        <v>3277.4102420119739</v>
      </c>
      <c r="AJ131" s="244">
        <f t="shared" si="49"/>
        <v>2930.2688906212584</v>
      </c>
      <c r="AK131" s="244">
        <f t="shared" si="50"/>
        <v>2656.399696184154</v>
      </c>
      <c r="AL131" s="447">
        <f t="shared" si="40"/>
        <v>1740.5958333333331</v>
      </c>
      <c r="AM131" s="244">
        <f t="shared" si="24"/>
        <v>3481.1916666666675</v>
      </c>
      <c r="AN131" s="244"/>
    </row>
    <row r="132" spans="1:40" x14ac:dyDescent="0.2">
      <c r="A132" s="435"/>
      <c r="B132" s="435"/>
      <c r="C132" s="435"/>
      <c r="D132" s="435"/>
      <c r="E132" s="435"/>
      <c r="F132" s="435"/>
      <c r="G132" s="435"/>
      <c r="H132" s="435"/>
      <c r="I132" s="435"/>
      <c r="J132" s="117"/>
      <c r="K132" s="252"/>
      <c r="L132" s="252"/>
      <c r="M132" s="252"/>
      <c r="N132" s="252"/>
      <c r="O132" s="252"/>
      <c r="P132" s="252"/>
      <c r="Q132" s="252"/>
      <c r="R132" s="252"/>
      <c r="T132" s="244">
        <v>6800</v>
      </c>
      <c r="U132" s="244">
        <f t="shared" si="41"/>
        <v>75.126854737513085</v>
      </c>
      <c r="V132" s="244">
        <f t="shared" si="42"/>
        <v>43.415534224578224</v>
      </c>
      <c r="W132" s="244">
        <f t="shared" si="43"/>
        <v>26.29800360813573</v>
      </c>
      <c r="X132" s="244">
        <f t="shared" si="33"/>
        <v>2161.9894400822236</v>
      </c>
      <c r="Y132" s="244">
        <f t="shared" si="34"/>
        <v>1249.4057798242609</v>
      </c>
      <c r="Z132" s="244">
        <f t="shared" si="35"/>
        <v>756.80003235439278</v>
      </c>
      <c r="AA132" s="244">
        <f t="shared" si="44"/>
        <v>5418.6516001264627</v>
      </c>
      <c r="AB132" s="244">
        <f t="shared" si="45"/>
        <v>4844.7112324938144</v>
      </c>
      <c r="AC132" s="244">
        <f t="shared" si="46"/>
        <v>4391.9141643578014</v>
      </c>
      <c r="AD132" s="446">
        <f t="shared" si="36"/>
        <v>2877.7851111111108</v>
      </c>
      <c r="AE132" s="244">
        <f t="shared" si="47"/>
        <v>5755.5702222222226</v>
      </c>
      <c r="AF132" s="244">
        <f t="shared" si="37"/>
        <v>1307.6549032755386</v>
      </c>
      <c r="AG132" s="244">
        <f t="shared" si="38"/>
        <v>755.68897973241576</v>
      </c>
      <c r="AH132" s="244">
        <f t="shared" si="39"/>
        <v>457.74195505306011</v>
      </c>
      <c r="AI132" s="244">
        <f t="shared" si="48"/>
        <v>3277.4102420119739</v>
      </c>
      <c r="AJ132" s="244">
        <f t="shared" si="49"/>
        <v>2930.2688906212584</v>
      </c>
      <c r="AK132" s="244">
        <f t="shared" si="50"/>
        <v>2656.399696184154</v>
      </c>
      <c r="AL132" s="447">
        <f t="shared" si="40"/>
        <v>1740.5958333333331</v>
      </c>
      <c r="AM132" s="244">
        <f t="shared" si="24"/>
        <v>3481.1916666666675</v>
      </c>
      <c r="AN132" s="244"/>
    </row>
    <row r="133" spans="1:40" x14ac:dyDescent="0.2">
      <c r="A133" s="435"/>
      <c r="B133" s="435"/>
      <c r="C133" s="435"/>
      <c r="D133" s="435"/>
      <c r="E133" s="435"/>
      <c r="F133" s="435"/>
      <c r="G133" s="435"/>
      <c r="H133" s="435"/>
      <c r="I133" s="435"/>
      <c r="J133" s="117"/>
      <c r="K133" s="252"/>
      <c r="L133" s="252"/>
      <c r="M133" s="252"/>
      <c r="N133" s="252"/>
      <c r="O133" s="252"/>
      <c r="P133" s="252"/>
      <c r="Q133" s="252"/>
      <c r="R133" s="252"/>
      <c r="T133" s="244">
        <v>6900</v>
      </c>
      <c r="U133" s="244">
        <f t="shared" si="41"/>
        <v>74.811552256697297</v>
      </c>
      <c r="V133" s="244">
        <f t="shared" si="42"/>
        <v>42.886084953045135</v>
      </c>
      <c r="W133" s="244">
        <f t="shared" si="43"/>
        <v>25.786490137961614</v>
      </c>
      <c r="X133" s="244">
        <f t="shared" si="33"/>
        <v>2152.9157122343431</v>
      </c>
      <c r="Y133" s="244">
        <f t="shared" si="34"/>
        <v>1234.1693675171953</v>
      </c>
      <c r="Z133" s="244">
        <f t="shared" si="35"/>
        <v>742.07977386839423</v>
      </c>
      <c r="AA133" s="244">
        <f t="shared" si="44"/>
        <v>5418.6516001264627</v>
      </c>
      <c r="AB133" s="244">
        <f t="shared" si="45"/>
        <v>4844.7112324938144</v>
      </c>
      <c r="AC133" s="244">
        <f t="shared" si="46"/>
        <v>4391.9141643578014</v>
      </c>
      <c r="AD133" s="446">
        <f t="shared" si="36"/>
        <v>2877.7851111111108</v>
      </c>
      <c r="AE133" s="244">
        <f t="shared" si="47"/>
        <v>5755.5702222222226</v>
      </c>
      <c r="AF133" s="244">
        <f t="shared" si="37"/>
        <v>1302.1667614320622</v>
      </c>
      <c r="AG133" s="244">
        <f t="shared" si="38"/>
        <v>746.47340777249713</v>
      </c>
      <c r="AH133" s="244">
        <f t="shared" si="39"/>
        <v>448.83857290427068</v>
      </c>
      <c r="AI133" s="244">
        <f t="shared" si="48"/>
        <v>3277.4102420119739</v>
      </c>
      <c r="AJ133" s="244">
        <f t="shared" si="49"/>
        <v>2930.2688906212584</v>
      </c>
      <c r="AK133" s="244">
        <f t="shared" si="50"/>
        <v>2656.399696184154</v>
      </c>
      <c r="AL133" s="447">
        <f t="shared" si="40"/>
        <v>1740.5958333333331</v>
      </c>
      <c r="AM133" s="244">
        <f t="shared" si="24"/>
        <v>3481.1916666666675</v>
      </c>
      <c r="AN133" s="244"/>
    </row>
    <row r="134" spans="1:40" x14ac:dyDescent="0.2">
      <c r="A134" s="435"/>
      <c r="B134" s="435"/>
      <c r="C134" s="435"/>
      <c r="D134" s="435"/>
      <c r="E134" s="435"/>
      <c r="F134" s="435"/>
      <c r="G134" s="435"/>
      <c r="H134" s="435"/>
      <c r="I134" s="435"/>
      <c r="J134" s="117"/>
      <c r="K134" s="252"/>
      <c r="L134" s="252"/>
      <c r="M134" s="252"/>
      <c r="N134" s="252"/>
      <c r="O134" s="252"/>
      <c r="P134" s="252"/>
      <c r="Q134" s="252"/>
      <c r="R134" s="252"/>
      <c r="T134" s="244">
        <v>7000</v>
      </c>
      <c r="U134" s="244">
        <f t="shared" si="41"/>
        <v>74.497573079708829</v>
      </c>
      <c r="V134" s="244">
        <f t="shared" si="42"/>
        <v>42.363092276740765</v>
      </c>
      <c r="W134" s="244">
        <f t="shared" si="43"/>
        <v>25.284925941278679</v>
      </c>
      <c r="X134" s="244">
        <f t="shared" si="33"/>
        <v>2143.88006622698</v>
      </c>
      <c r="Y134" s="244">
        <f t="shared" si="34"/>
        <v>1219.1187621463066</v>
      </c>
      <c r="Z134" s="244">
        <f t="shared" si="35"/>
        <v>727.64583409358875</v>
      </c>
      <c r="AA134" s="244">
        <f t="shared" si="44"/>
        <v>5418.6516001264627</v>
      </c>
      <c r="AB134" s="244">
        <f t="shared" si="45"/>
        <v>4844.7112324938144</v>
      </c>
      <c r="AC134" s="244">
        <f t="shared" si="46"/>
        <v>4391.9141643578014</v>
      </c>
      <c r="AD134" s="446">
        <f t="shared" si="36"/>
        <v>2877.7851111111108</v>
      </c>
      <c r="AE134" s="244">
        <f t="shared" si="47"/>
        <v>5755.5702222222226</v>
      </c>
      <c r="AF134" s="244">
        <f t="shared" si="37"/>
        <v>1296.7016529598666</v>
      </c>
      <c r="AG134" s="244">
        <f t="shared" si="38"/>
        <v>737.37021904010487</v>
      </c>
      <c r="AH134" s="244">
        <f t="shared" si="39"/>
        <v>440.10836739531572</v>
      </c>
      <c r="AI134" s="244">
        <f t="shared" si="48"/>
        <v>3277.4102420119739</v>
      </c>
      <c r="AJ134" s="244">
        <f t="shared" si="49"/>
        <v>2930.2688906212584</v>
      </c>
      <c r="AK134" s="244">
        <f t="shared" si="50"/>
        <v>2656.399696184154</v>
      </c>
      <c r="AL134" s="447">
        <f t="shared" si="40"/>
        <v>1740.5958333333331</v>
      </c>
      <c r="AM134" s="244">
        <f t="shared" si="24"/>
        <v>3481.1916666666675</v>
      </c>
      <c r="AN134" s="244"/>
    </row>
    <row r="135" spans="1:40" x14ac:dyDescent="0.2">
      <c r="A135" s="435"/>
      <c r="B135" s="435"/>
      <c r="C135" s="435"/>
      <c r="D135" s="435"/>
      <c r="E135" s="435"/>
      <c r="F135" s="435"/>
      <c r="G135" s="435"/>
      <c r="H135" s="435"/>
      <c r="I135" s="435"/>
      <c r="J135" s="117"/>
      <c r="K135" s="252"/>
      <c r="L135" s="252"/>
      <c r="M135" s="252"/>
      <c r="N135" s="252"/>
      <c r="O135" s="252"/>
      <c r="P135" s="252"/>
      <c r="Q135" s="252"/>
      <c r="R135" s="252"/>
      <c r="T135" s="244">
        <v>7100</v>
      </c>
      <c r="U135" s="244">
        <f t="shared" si="41"/>
        <v>74.184911652728331</v>
      </c>
      <c r="V135" s="244">
        <f t="shared" si="42"/>
        <v>41.846477457957491</v>
      </c>
      <c r="W135" s="244">
        <f t="shared" si="43"/>
        <v>24.79311749817246</v>
      </c>
      <c r="X135" s="244">
        <f t="shared" si="33"/>
        <v>2134.8823422331475</v>
      </c>
      <c r="Y135" s="244">
        <f t="shared" si="34"/>
        <v>1204.251697809568</v>
      </c>
      <c r="Z135" s="244">
        <f t="shared" si="35"/>
        <v>713.49264394269062</v>
      </c>
      <c r="AA135" s="244">
        <f t="shared" si="44"/>
        <v>5418.6516001264627</v>
      </c>
      <c r="AB135" s="244">
        <f t="shared" si="45"/>
        <v>4844.7112324938144</v>
      </c>
      <c r="AC135" s="244">
        <f t="shared" si="46"/>
        <v>4391.9141643578014</v>
      </c>
      <c r="AD135" s="446">
        <f t="shared" si="36"/>
        <v>2877.7851111111108</v>
      </c>
      <c r="AE135" s="244">
        <f t="shared" si="47"/>
        <v>5755.5702222222226</v>
      </c>
      <c r="AF135" s="244">
        <f t="shared" si="37"/>
        <v>1291.2594811894037</v>
      </c>
      <c r="AG135" s="244">
        <f t="shared" si="38"/>
        <v>728.37804302998063</v>
      </c>
      <c r="AH135" s="244">
        <f t="shared" si="39"/>
        <v>431.54797012662732</v>
      </c>
      <c r="AI135" s="244">
        <f t="shared" si="48"/>
        <v>3277.4102420119739</v>
      </c>
      <c r="AJ135" s="244">
        <f t="shared" si="49"/>
        <v>2930.2688906212584</v>
      </c>
      <c r="AK135" s="244">
        <f t="shared" si="50"/>
        <v>2656.399696184154</v>
      </c>
      <c r="AL135" s="447">
        <f t="shared" si="40"/>
        <v>1740.5958333333331</v>
      </c>
      <c r="AM135" s="244">
        <f t="shared" si="24"/>
        <v>3481.1916666666675</v>
      </c>
      <c r="AN135" s="244"/>
    </row>
    <row r="136" spans="1:40" x14ac:dyDescent="0.2">
      <c r="A136" s="435"/>
      <c r="B136" s="435"/>
      <c r="C136" s="435"/>
      <c r="D136" s="435"/>
      <c r="E136" s="435"/>
      <c r="F136" s="435"/>
      <c r="G136" s="435"/>
      <c r="H136" s="435"/>
      <c r="I136" s="435"/>
      <c r="J136" s="117"/>
      <c r="K136" s="252"/>
      <c r="L136" s="252"/>
      <c r="M136" s="252"/>
      <c r="N136" s="252"/>
      <c r="O136" s="252"/>
      <c r="P136" s="252"/>
      <c r="Q136" s="252"/>
      <c r="R136" s="252"/>
      <c r="T136" s="244">
        <v>7200</v>
      </c>
      <c r="U136" s="244">
        <f t="shared" si="41"/>
        <v>73.873562445245454</v>
      </c>
      <c r="V136" s="244">
        <f t="shared" si="42"/>
        <v>41.33616271918828</v>
      </c>
      <c r="W136" s="244">
        <f t="shared" si="43"/>
        <v>24.310875052818112</v>
      </c>
      <c r="X136" s="244">
        <f t="shared" si="33"/>
        <v>2125.9223810966428</v>
      </c>
      <c r="Y136" s="244">
        <f t="shared" si="34"/>
        <v>1189.565936237462</v>
      </c>
      <c r="Z136" s="244">
        <f t="shared" si="35"/>
        <v>699.61474265082506</v>
      </c>
      <c r="AA136" s="244">
        <f t="shared" si="44"/>
        <v>5418.6516001264627</v>
      </c>
      <c r="AB136" s="244">
        <f t="shared" si="45"/>
        <v>4844.7112324938144</v>
      </c>
      <c r="AC136" s="244">
        <f t="shared" si="46"/>
        <v>4391.9141643578014</v>
      </c>
      <c r="AD136" s="446">
        <f t="shared" si="36"/>
        <v>2877.7851111111108</v>
      </c>
      <c r="AE136" s="244">
        <f t="shared" si="47"/>
        <v>5755.5702222222226</v>
      </c>
      <c r="AF136" s="244">
        <f t="shared" si="37"/>
        <v>1285.8401498568403</v>
      </c>
      <c r="AG136" s="244">
        <f t="shared" si="38"/>
        <v>719.49552595007788</v>
      </c>
      <c r="AH136" s="244">
        <f t="shared" si="39"/>
        <v>423.15407821622483</v>
      </c>
      <c r="AI136" s="244">
        <f t="shared" si="48"/>
        <v>3277.4102420119739</v>
      </c>
      <c r="AJ136" s="244">
        <f t="shared" si="49"/>
        <v>2930.2688906212584</v>
      </c>
      <c r="AK136" s="244">
        <f t="shared" si="50"/>
        <v>2656.399696184154</v>
      </c>
      <c r="AL136" s="447">
        <f t="shared" si="40"/>
        <v>1740.5958333333331</v>
      </c>
      <c r="AM136" s="244">
        <f t="shared" si="24"/>
        <v>3481.1916666666675</v>
      </c>
      <c r="AN136" s="244"/>
    </row>
    <row r="137" spans="1:40" x14ac:dyDescent="0.2">
      <c r="A137" s="435"/>
      <c r="B137" s="435"/>
      <c r="C137" s="435"/>
      <c r="D137" s="435"/>
      <c r="E137" s="435"/>
      <c r="F137" s="435"/>
      <c r="G137" s="435"/>
      <c r="H137" s="435"/>
      <c r="I137" s="435"/>
      <c r="J137" s="117"/>
      <c r="K137" s="252"/>
      <c r="L137" s="252"/>
      <c r="M137" s="252"/>
      <c r="N137" s="252"/>
      <c r="O137" s="252"/>
      <c r="P137" s="252"/>
      <c r="Q137" s="252"/>
      <c r="R137" s="252"/>
      <c r="T137" s="244">
        <v>7300</v>
      </c>
      <c r="U137" s="244">
        <f t="shared" si="41"/>
        <v>73.563519949961076</v>
      </c>
      <c r="V137" s="244">
        <f t="shared" si="42"/>
        <v>40.83207123141711</v>
      </c>
      <c r="W137" s="244">
        <f t="shared" si="43"/>
        <v>23.83801254026643</v>
      </c>
      <c r="X137" s="244">
        <f t="shared" si="33"/>
        <v>2117.0000243292316</v>
      </c>
      <c r="Y137" s="244">
        <f t="shared" si="34"/>
        <v>1175.0592664560049</v>
      </c>
      <c r="Z137" s="244">
        <f t="shared" si="35"/>
        <v>686.00677566858678</v>
      </c>
      <c r="AA137" s="244">
        <f t="shared" si="44"/>
        <v>5418.6516001264627</v>
      </c>
      <c r="AB137" s="244">
        <f t="shared" si="45"/>
        <v>4844.7112324938144</v>
      </c>
      <c r="AC137" s="244">
        <f t="shared" si="46"/>
        <v>4391.9141643578014</v>
      </c>
      <c r="AD137" s="446">
        <f t="shared" si="36"/>
        <v>2877.7851111111108</v>
      </c>
      <c r="AE137" s="244">
        <f t="shared" si="47"/>
        <v>5755.5702222222226</v>
      </c>
      <c r="AF137" s="244">
        <f t="shared" si="37"/>
        <v>1280.4435631023578</v>
      </c>
      <c r="AG137" s="244">
        <f t="shared" si="38"/>
        <v>710.72133051774483</v>
      </c>
      <c r="AH137" s="244">
        <f t="shared" si="39"/>
        <v>414.92345302535489</v>
      </c>
      <c r="AI137" s="244">
        <f t="shared" si="48"/>
        <v>3277.4102420119739</v>
      </c>
      <c r="AJ137" s="244">
        <f t="shared" si="49"/>
        <v>2930.2688906212584</v>
      </c>
      <c r="AK137" s="244">
        <f t="shared" si="50"/>
        <v>2656.399696184154</v>
      </c>
      <c r="AL137" s="447">
        <f t="shared" si="40"/>
        <v>1740.5958333333331</v>
      </c>
      <c r="AM137" s="244">
        <f t="shared" si="24"/>
        <v>3481.1916666666675</v>
      </c>
      <c r="AN137" s="244"/>
    </row>
    <row r="138" spans="1:40" x14ac:dyDescent="0.2">
      <c r="A138" s="435"/>
      <c r="B138" s="435"/>
      <c r="C138" s="435"/>
      <c r="D138" s="435"/>
      <c r="E138" s="435"/>
      <c r="F138" s="435"/>
      <c r="G138" s="435"/>
      <c r="H138" s="435"/>
      <c r="I138" s="435"/>
      <c r="J138" s="117"/>
      <c r="K138" s="252"/>
      <c r="L138" s="252"/>
      <c r="M138" s="252"/>
      <c r="N138" s="252"/>
      <c r="O138" s="252"/>
      <c r="P138" s="252"/>
      <c r="Q138" s="252"/>
      <c r="R138" s="252"/>
      <c r="T138" s="244">
        <v>7400</v>
      </c>
      <c r="U138" s="244">
        <f t="shared" si="41"/>
        <v>73.254778682689818</v>
      </c>
      <c r="V138" s="244">
        <f t="shared" si="42"/>
        <v>40.334127102552223</v>
      </c>
      <c r="W138" s="244">
        <f t="shared" si="43"/>
        <v>23.374347514653856</v>
      </c>
      <c r="X138" s="244">
        <f t="shared" si="33"/>
        <v>2108.1151141078435</v>
      </c>
      <c r="Y138" s="244">
        <f t="shared" si="34"/>
        <v>1160.7295044538791</v>
      </c>
      <c r="Z138" s="244">
        <f t="shared" si="35"/>
        <v>672.66349259607853</v>
      </c>
      <c r="AA138" s="244">
        <f t="shared" si="44"/>
        <v>5418.6516001264627</v>
      </c>
      <c r="AB138" s="244">
        <f t="shared" si="45"/>
        <v>4844.7112324938144</v>
      </c>
      <c r="AC138" s="244">
        <f t="shared" si="46"/>
        <v>4391.9141643578014</v>
      </c>
      <c r="AD138" s="446">
        <f t="shared" si="36"/>
        <v>2877.7851111111108</v>
      </c>
      <c r="AE138" s="244">
        <f t="shared" si="47"/>
        <v>5755.5702222222226</v>
      </c>
      <c r="AF138" s="244">
        <f t="shared" si="37"/>
        <v>1275.0696254684535</v>
      </c>
      <c r="AG138" s="244">
        <f t="shared" si="38"/>
        <v>702.05413575839452</v>
      </c>
      <c r="AH138" s="244">
        <f t="shared" si="39"/>
        <v>406.85291890891853</v>
      </c>
      <c r="AI138" s="244">
        <f t="shared" si="48"/>
        <v>3277.4102420119739</v>
      </c>
      <c r="AJ138" s="244">
        <f t="shared" si="49"/>
        <v>2930.2688906212584</v>
      </c>
      <c r="AK138" s="244">
        <f t="shared" si="50"/>
        <v>2656.399696184154</v>
      </c>
      <c r="AL138" s="447">
        <f t="shared" si="40"/>
        <v>1740.5958333333331</v>
      </c>
      <c r="AM138" s="244">
        <f t="shared" si="24"/>
        <v>3481.1916666666675</v>
      </c>
      <c r="AN138" s="244"/>
    </row>
    <row r="139" spans="1:40" x14ac:dyDescent="0.2">
      <c r="A139" s="435"/>
      <c r="B139" s="435"/>
      <c r="C139" s="435"/>
      <c r="D139" s="435"/>
      <c r="E139" s="435"/>
      <c r="F139" s="435"/>
      <c r="G139" s="435"/>
      <c r="H139" s="435"/>
      <c r="I139" s="435"/>
      <c r="J139" s="298"/>
      <c r="K139" s="297"/>
      <c r="L139" s="297"/>
      <c r="M139" s="297"/>
      <c r="N139" s="297"/>
      <c r="O139" s="297"/>
      <c r="P139" s="297"/>
      <c r="Q139" s="297"/>
      <c r="R139" s="297"/>
      <c r="T139" s="244">
        <v>7500</v>
      </c>
      <c r="U139" s="244">
        <f t="shared" si="41"/>
        <v>72.947333182263037</v>
      </c>
      <c r="V139" s="244">
        <f t="shared" si="42"/>
        <v>39.84225536600038</v>
      </c>
      <c r="W139" s="244">
        <f t="shared" si="43"/>
        <v>22.919701078808917</v>
      </c>
      <c r="X139" s="244">
        <f t="shared" si="33"/>
        <v>2099.2674932717805</v>
      </c>
      <c r="Y139" s="244">
        <f t="shared" si="34"/>
        <v>1146.5744928536267</v>
      </c>
      <c r="Z139" s="244">
        <f t="shared" si="35"/>
        <v>659.57974515713568</v>
      </c>
      <c r="AA139" s="244">
        <f t="shared" si="44"/>
        <v>5418.6516001264627</v>
      </c>
      <c r="AB139" s="244">
        <f t="shared" si="45"/>
        <v>4844.7112324938144</v>
      </c>
      <c r="AC139" s="244">
        <f t="shared" si="46"/>
        <v>4391.9141643578014</v>
      </c>
      <c r="AD139" s="446">
        <f t="shared" si="36"/>
        <v>2877.7851111111108</v>
      </c>
      <c r="AE139" s="244">
        <f t="shared" si="47"/>
        <v>5755.5702222222226</v>
      </c>
      <c r="AF139" s="244">
        <f t="shared" si="37"/>
        <v>1269.7182418982543</v>
      </c>
      <c r="AG139" s="244">
        <f t="shared" si="38"/>
        <v>693.49263680662887</v>
      </c>
      <c r="AH139" s="244">
        <f t="shared" si="39"/>
        <v>398.93936199020294</v>
      </c>
      <c r="AI139" s="244">
        <f t="shared" si="48"/>
        <v>3277.4102420119739</v>
      </c>
      <c r="AJ139" s="244">
        <f t="shared" si="49"/>
        <v>2930.2688906212584</v>
      </c>
      <c r="AK139" s="244">
        <f t="shared" si="50"/>
        <v>2656.399696184154</v>
      </c>
      <c r="AL139" s="447">
        <f t="shared" si="40"/>
        <v>1740.5958333333331</v>
      </c>
      <c r="AM139" s="244">
        <f t="shared" si="24"/>
        <v>3481.1916666666675</v>
      </c>
      <c r="AN139" s="244"/>
    </row>
    <row r="140" spans="1:40" x14ac:dyDescent="0.2">
      <c r="A140" s="435"/>
      <c r="B140" s="435"/>
      <c r="C140" s="435"/>
      <c r="D140" s="435"/>
      <c r="E140" s="435"/>
      <c r="F140" s="435"/>
      <c r="G140" s="435"/>
      <c r="H140" s="435"/>
      <c r="I140" s="435"/>
      <c r="J140" s="298"/>
      <c r="K140" s="297"/>
      <c r="L140" s="297"/>
      <c r="M140" s="297"/>
      <c r="N140" s="297"/>
      <c r="O140" s="297"/>
      <c r="P140" s="297"/>
      <c r="Q140" s="297"/>
      <c r="R140" s="297"/>
      <c r="T140" s="244">
        <v>7600</v>
      </c>
      <c r="U140" s="244">
        <f t="shared" si="41"/>
        <v>72.641178010432341</v>
      </c>
      <c r="V140" s="244">
        <f t="shared" si="42"/>
        <v>39.356381969380458</v>
      </c>
      <c r="W140" s="244">
        <f t="shared" si="43"/>
        <v>22.47389781522779</v>
      </c>
      <c r="X140" s="244">
        <f t="shared" si="33"/>
        <v>2090.4570053199404</v>
      </c>
      <c r="Y140" s="244">
        <f t="shared" si="34"/>
        <v>1132.5921005868486</v>
      </c>
      <c r="Z140" s="244">
        <f t="shared" si="35"/>
        <v>646.75048521295059</v>
      </c>
      <c r="AA140" s="244">
        <f t="shared" si="44"/>
        <v>5418.6516001264627</v>
      </c>
      <c r="AB140" s="244">
        <f t="shared" si="45"/>
        <v>4844.7112324938144</v>
      </c>
      <c r="AC140" s="244">
        <f t="shared" si="46"/>
        <v>4391.9141643578014</v>
      </c>
      <c r="AD140" s="446">
        <f t="shared" si="36"/>
        <v>2877.7851111111108</v>
      </c>
      <c r="AE140" s="244">
        <f t="shared" si="47"/>
        <v>5755.5702222222226</v>
      </c>
      <c r="AF140" s="244">
        <f t="shared" si="37"/>
        <v>1264.3893177338348</v>
      </c>
      <c r="AG140" s="244">
        <f t="shared" si="38"/>
        <v>685.03554470978736</v>
      </c>
      <c r="AH140" s="244">
        <f t="shared" si="39"/>
        <v>391.17972895944587</v>
      </c>
      <c r="AI140" s="244">
        <f t="shared" si="48"/>
        <v>3277.4102420119739</v>
      </c>
      <c r="AJ140" s="244">
        <f t="shared" si="49"/>
        <v>2930.2688906212584</v>
      </c>
      <c r="AK140" s="244">
        <f t="shared" si="50"/>
        <v>2656.399696184154</v>
      </c>
      <c r="AL140" s="447">
        <f t="shared" si="40"/>
        <v>1740.5958333333331</v>
      </c>
      <c r="AM140" s="244">
        <f t="shared" si="24"/>
        <v>3481.1916666666675</v>
      </c>
      <c r="AN140" s="244"/>
    </row>
    <row r="141" spans="1:40" x14ac:dyDescent="0.2">
      <c r="A141" s="435"/>
      <c r="B141" s="435"/>
      <c r="C141" s="435"/>
      <c r="D141" s="435"/>
      <c r="E141" s="435"/>
      <c r="F141" s="435"/>
      <c r="G141" s="435"/>
      <c r="H141" s="435"/>
      <c r="I141" s="435"/>
      <c r="J141" s="298"/>
      <c r="K141" s="297"/>
      <c r="L141" s="297"/>
      <c r="M141" s="297"/>
      <c r="N141" s="297"/>
      <c r="O141" s="297"/>
      <c r="P141" s="297"/>
      <c r="Q141" s="297"/>
      <c r="R141" s="297"/>
      <c r="T141" s="244">
        <v>7700</v>
      </c>
      <c r="U141" s="244">
        <f t="shared" si="41"/>
        <v>72.336307751773248</v>
      </c>
      <c r="V141" s="244">
        <f t="shared" si="42"/>
        <v>38.876433763374727</v>
      </c>
      <c r="W141" s="244">
        <f t="shared" si="43"/>
        <v>22.03676571839253</v>
      </c>
      <c r="X141" s="244">
        <f t="shared" si="33"/>
        <v>2081.6834944080429</v>
      </c>
      <c r="Y141" s="244">
        <f t="shared" si="34"/>
        <v>1118.7802225733708</v>
      </c>
      <c r="Z141" s="244">
        <f t="shared" si="35"/>
        <v>634.17076281433765</v>
      </c>
      <c r="AA141" s="244">
        <f t="shared" si="44"/>
        <v>5418.6516001264627</v>
      </c>
      <c r="AB141" s="244">
        <f t="shared" si="45"/>
        <v>4844.7112324938144</v>
      </c>
      <c r="AC141" s="244">
        <f t="shared" si="46"/>
        <v>4391.9141643578014</v>
      </c>
      <c r="AD141" s="446">
        <f t="shared" si="36"/>
        <v>2877.7851111111108</v>
      </c>
      <c r="AE141" s="244">
        <f t="shared" si="47"/>
        <v>5755.5702222222226</v>
      </c>
      <c r="AF141" s="244">
        <f t="shared" si="37"/>
        <v>1259.082758714542</v>
      </c>
      <c r="AG141" s="244">
        <f t="shared" si="38"/>
        <v>676.68158623389365</v>
      </c>
      <c r="AH141" s="244">
        <f t="shared" si="39"/>
        <v>383.57102589576874</v>
      </c>
      <c r="AI141" s="244">
        <f t="shared" si="48"/>
        <v>3277.4102420119739</v>
      </c>
      <c r="AJ141" s="244">
        <f t="shared" si="49"/>
        <v>2930.2688906212584</v>
      </c>
      <c r="AK141" s="244">
        <f t="shared" si="50"/>
        <v>2656.399696184154</v>
      </c>
      <c r="AL141" s="447">
        <f t="shared" si="40"/>
        <v>1740.5958333333331</v>
      </c>
      <c r="AM141" s="244">
        <f t="shared" si="24"/>
        <v>3481.1916666666675</v>
      </c>
      <c r="AN141" s="244"/>
    </row>
    <row r="142" spans="1:40" x14ac:dyDescent="0.2">
      <c r="A142" s="435"/>
      <c r="B142" s="435"/>
      <c r="C142" s="435"/>
      <c r="D142" s="435"/>
      <c r="E142" s="435"/>
      <c r="F142" s="435"/>
      <c r="G142" s="435"/>
      <c r="H142" s="435"/>
      <c r="I142" s="435"/>
      <c r="J142" s="298"/>
      <c r="K142" s="297"/>
      <c r="L142" s="297"/>
      <c r="M142" s="297"/>
      <c r="N142" s="297"/>
      <c r="O142" s="297"/>
      <c r="P142" s="297"/>
      <c r="Q142" s="297"/>
      <c r="R142" s="297"/>
      <c r="T142" s="244">
        <v>7800</v>
      </c>
      <c r="U142" s="244">
        <f t="shared" si="41"/>
        <v>72.032717013589448</v>
      </c>
      <c r="V142" s="244">
        <f t="shared" si="42"/>
        <v>38.402338490716062</v>
      </c>
      <c r="W142" s="244">
        <f t="shared" si="43"/>
        <v>21.60813612840564</v>
      </c>
      <c r="X142" s="244">
        <f t="shared" si="33"/>
        <v>2072.9468053458772</v>
      </c>
      <c r="Y142" s="244">
        <f t="shared" si="34"/>
        <v>1105.1367794043181</v>
      </c>
      <c r="Z142" s="244">
        <f t="shared" si="35"/>
        <v>621.83572429187836</v>
      </c>
      <c r="AA142" s="244">
        <f t="shared" si="44"/>
        <v>5418.6516001264627</v>
      </c>
      <c r="AB142" s="244">
        <f t="shared" si="45"/>
        <v>4844.7112324938144</v>
      </c>
      <c r="AC142" s="244">
        <f t="shared" si="46"/>
        <v>4391.9141643578014</v>
      </c>
      <c r="AD142" s="446">
        <f t="shared" si="36"/>
        <v>2877.7851111111108</v>
      </c>
      <c r="AE142" s="244">
        <f t="shared" si="47"/>
        <v>5755.5702222222226</v>
      </c>
      <c r="AF142" s="244">
        <f t="shared" si="37"/>
        <v>1253.7984709753289</v>
      </c>
      <c r="AG142" s="244">
        <f t="shared" si="38"/>
        <v>668.42950367196647</v>
      </c>
      <c r="AH142" s="244">
        <f t="shared" si="39"/>
        <v>376.11031711202321</v>
      </c>
      <c r="AI142" s="244">
        <f t="shared" si="48"/>
        <v>3277.4102420119739</v>
      </c>
      <c r="AJ142" s="244">
        <f t="shared" si="49"/>
        <v>2930.2688906212584</v>
      </c>
      <c r="AK142" s="244">
        <f t="shared" si="50"/>
        <v>2656.399696184154</v>
      </c>
      <c r="AL142" s="447">
        <f t="shared" si="40"/>
        <v>1740.5958333333331</v>
      </c>
      <c r="AM142" s="244">
        <f t="shared" si="24"/>
        <v>3481.1916666666675</v>
      </c>
      <c r="AN142" s="244"/>
    </row>
    <row r="143" spans="1:40" x14ac:dyDescent="0.2">
      <c r="A143" s="435"/>
      <c r="B143" s="435"/>
      <c r="C143" s="435"/>
      <c r="D143" s="435"/>
      <c r="E143" s="435"/>
      <c r="F143" s="435"/>
      <c r="G143" s="435"/>
      <c r="H143" s="435"/>
      <c r="I143" s="435"/>
      <c r="J143" s="298"/>
      <c r="K143" s="297"/>
      <c r="L143" s="297"/>
      <c r="M143" s="297"/>
      <c r="N143" s="297"/>
      <c r="O143" s="297"/>
      <c r="P143" s="297"/>
      <c r="Q143" s="297"/>
      <c r="R143" s="297"/>
      <c r="T143" s="244">
        <v>7900</v>
      </c>
      <c r="U143" s="244">
        <f t="shared" si="41"/>
        <v>71.730400425817464</v>
      </c>
      <c r="V143" s="244">
        <f t="shared" si="42"/>
        <v>37.93402477530941</v>
      </c>
      <c r="W143" s="244">
        <f t="shared" si="43"/>
        <v>21.187843665915594</v>
      </c>
      <c r="X143" s="244">
        <f t="shared" si="33"/>
        <v>2064.2467835945558</v>
      </c>
      <c r="Y143" s="244">
        <f t="shared" si="34"/>
        <v>1091.6597170290543</v>
      </c>
      <c r="Z143" s="244">
        <f t="shared" si="35"/>
        <v>609.74061038321747</v>
      </c>
      <c r="AA143" s="244">
        <f t="shared" si="44"/>
        <v>5418.6516001264627</v>
      </c>
      <c r="AB143" s="244">
        <f t="shared" si="45"/>
        <v>4844.7112324938144</v>
      </c>
      <c r="AC143" s="244">
        <f t="shared" si="46"/>
        <v>4391.9141643578014</v>
      </c>
      <c r="AD143" s="446">
        <f t="shared" si="36"/>
        <v>2877.7851111111108</v>
      </c>
      <c r="AE143" s="244">
        <f t="shared" si="47"/>
        <v>5755.5702222222226</v>
      </c>
      <c r="AF143" s="244">
        <f t="shared" si="37"/>
        <v>1248.5363610450943</v>
      </c>
      <c r="AG143" s="244">
        <f t="shared" si="38"/>
        <v>660.27805465466986</v>
      </c>
      <c r="AH143" s="244">
        <f t="shared" si="39"/>
        <v>368.79472402210735</v>
      </c>
      <c r="AI143" s="244">
        <f t="shared" si="48"/>
        <v>3277.4102420119739</v>
      </c>
      <c r="AJ143" s="244">
        <f t="shared" si="49"/>
        <v>2930.2688906212584</v>
      </c>
      <c r="AK143" s="244">
        <f t="shared" si="50"/>
        <v>2656.399696184154</v>
      </c>
      <c r="AL143" s="447">
        <f t="shared" si="40"/>
        <v>1740.5958333333331</v>
      </c>
      <c r="AM143" s="244">
        <f t="shared" si="24"/>
        <v>3481.1916666666675</v>
      </c>
      <c r="AN143" s="244"/>
    </row>
    <row r="144" spans="1:40" x14ac:dyDescent="0.2">
      <c r="A144" s="298"/>
      <c r="B144" s="298"/>
      <c r="C144" s="298"/>
      <c r="D144" s="298"/>
      <c r="E144" s="298"/>
      <c r="F144" s="298"/>
      <c r="G144" s="298"/>
      <c r="H144" s="298"/>
      <c r="I144" s="298"/>
      <c r="J144" s="298"/>
      <c r="K144" s="297"/>
      <c r="L144" s="297"/>
      <c r="M144" s="297"/>
      <c r="N144" s="297"/>
      <c r="O144" s="297"/>
      <c r="P144" s="297"/>
      <c r="Q144" s="297"/>
      <c r="R144" s="297"/>
      <c r="T144" s="244">
        <v>8000</v>
      </c>
      <c r="U144" s="244">
        <f t="shared" si="41"/>
        <v>71.429352640931597</v>
      </c>
      <c r="V144" s="244">
        <f t="shared" si="42"/>
        <v>37.471422111486014</v>
      </c>
      <c r="W144" s="244">
        <f t="shared" si="43"/>
        <v>20.775726168308044</v>
      </c>
      <c r="X144" s="244">
        <f t="shared" si="33"/>
        <v>2055.5832752637807</v>
      </c>
      <c r="Y144" s="244">
        <f t="shared" si="34"/>
        <v>1078.3470064459411</v>
      </c>
      <c r="Z144" s="244">
        <f t="shared" si="35"/>
        <v>597.88075439678369</v>
      </c>
      <c r="AA144" s="244">
        <f t="shared" si="44"/>
        <v>5418.6516001264627</v>
      </c>
      <c r="AB144" s="244">
        <f t="shared" si="45"/>
        <v>4844.7112324938144</v>
      </c>
      <c r="AC144" s="244">
        <f t="shared" si="46"/>
        <v>4391.9141643578014</v>
      </c>
      <c r="AD144" s="446">
        <f t="shared" si="36"/>
        <v>2877.7851111111108</v>
      </c>
      <c r="AE144" s="244">
        <f t="shared" si="47"/>
        <v>5755.5702222222226</v>
      </c>
      <c r="AF144" s="244">
        <f t="shared" si="37"/>
        <v>1243.2963358450286</v>
      </c>
      <c r="AG144" s="244">
        <f t="shared" si="38"/>
        <v>652.22601196327082</v>
      </c>
      <c r="AH144" s="244">
        <f t="shared" si="39"/>
        <v>361.62142403031277</v>
      </c>
      <c r="AI144" s="244">
        <f t="shared" si="48"/>
        <v>3277.4102420119739</v>
      </c>
      <c r="AJ144" s="244">
        <f t="shared" si="49"/>
        <v>2930.2688906212584</v>
      </c>
      <c r="AK144" s="244">
        <f t="shared" si="50"/>
        <v>2656.399696184154</v>
      </c>
      <c r="AL144" s="447">
        <f t="shared" si="40"/>
        <v>1740.5958333333331</v>
      </c>
      <c r="AM144" s="244">
        <f t="shared" si="24"/>
        <v>3481.1916666666675</v>
      </c>
      <c r="AN144" s="244"/>
    </row>
    <row r="145" spans="1:40" x14ac:dyDescent="0.2">
      <c r="A145" s="298"/>
      <c r="B145" s="298"/>
      <c r="C145" s="298"/>
      <c r="D145" s="298"/>
      <c r="E145" s="298"/>
      <c r="F145" s="298"/>
      <c r="G145" s="298"/>
      <c r="H145" s="298"/>
      <c r="I145" s="298"/>
      <c r="J145" s="298"/>
      <c r="K145" s="297"/>
      <c r="L145" s="297"/>
      <c r="M145" s="297"/>
      <c r="N145" s="297"/>
      <c r="O145" s="297"/>
      <c r="P145" s="297"/>
      <c r="Q145" s="297"/>
      <c r="R145" s="297"/>
      <c r="T145" s="244">
        <v>8100</v>
      </c>
      <c r="U145" s="244">
        <f t="shared" si="41"/>
        <v>71.129568333849392</v>
      </c>
      <c r="V145" s="244">
        <f t="shared" si="42"/>
        <v>37.014460853388584</v>
      </c>
      <c r="W145" s="244">
        <f t="shared" si="43"/>
        <v>20.371624627138171</v>
      </c>
      <c r="X145" s="244">
        <f t="shared" si="33"/>
        <v>2046.9561271091213</v>
      </c>
      <c r="Y145" s="244">
        <f t="shared" si="34"/>
        <v>1065.1966433968673</v>
      </c>
      <c r="Z145" s="244">
        <f t="shared" si="35"/>
        <v>586.25158041122666</v>
      </c>
      <c r="AA145" s="244">
        <f t="shared" si="44"/>
        <v>5418.6516001264627</v>
      </c>
      <c r="AB145" s="244">
        <f t="shared" si="45"/>
        <v>4844.7112324938144</v>
      </c>
      <c r="AC145" s="244">
        <f t="shared" si="46"/>
        <v>4391.9141643578014</v>
      </c>
      <c r="AD145" s="446">
        <f t="shared" si="36"/>
        <v>2877.7851111111108</v>
      </c>
      <c r="AE145" s="244">
        <f t="shared" si="47"/>
        <v>5755.5702222222226</v>
      </c>
      <c r="AF145" s="244">
        <f t="shared" si="37"/>
        <v>1238.0783026869683</v>
      </c>
      <c r="AG145" s="244">
        <f t="shared" si="38"/>
        <v>644.27216334487935</v>
      </c>
      <c r="AH145" s="244">
        <f t="shared" si="39"/>
        <v>354.5876494422742</v>
      </c>
      <c r="AI145" s="244">
        <f t="shared" si="48"/>
        <v>3277.4102420119739</v>
      </c>
      <c r="AJ145" s="244">
        <f t="shared" si="49"/>
        <v>2930.2688906212584</v>
      </c>
      <c r="AK145" s="244">
        <f t="shared" si="50"/>
        <v>2656.399696184154</v>
      </c>
      <c r="AL145" s="447">
        <f t="shared" si="40"/>
        <v>1740.5958333333331</v>
      </c>
      <c r="AM145" s="244">
        <f t="shared" si="24"/>
        <v>3481.1916666666675</v>
      </c>
      <c r="AN145" s="244"/>
    </row>
    <row r="146" spans="1:40" x14ac:dyDescent="0.2">
      <c r="A146" s="298"/>
      <c r="B146" s="298"/>
      <c r="C146" s="298"/>
      <c r="D146" s="298"/>
      <c r="E146" s="298"/>
      <c r="F146" s="298"/>
      <c r="G146" s="298"/>
      <c r="H146" s="298"/>
      <c r="I146" s="298"/>
      <c r="J146" s="298"/>
      <c r="K146" s="297"/>
      <c r="L146" s="297"/>
      <c r="M146" s="297"/>
      <c r="N146" s="297"/>
      <c r="O146" s="297"/>
      <c r="P146" s="297"/>
      <c r="Q146" s="297"/>
      <c r="R146" s="297"/>
      <c r="T146" s="244">
        <v>8200</v>
      </c>
      <c r="U146" s="244">
        <f t="shared" si="41"/>
        <v>70.831042201837363</v>
      </c>
      <c r="V146" s="244">
        <f t="shared" si="42"/>
        <v>36.563072204485984</v>
      </c>
      <c r="W146" s="244">
        <f t="shared" si="43"/>
        <v>19.975383126780017</v>
      </c>
      <c r="X146" s="244">
        <f t="shared" si="33"/>
        <v>2038.3651865293029</v>
      </c>
      <c r="Y146" s="244">
        <f t="shared" si="34"/>
        <v>1052.2066480655026</v>
      </c>
      <c r="Z146" s="244">
        <f t="shared" si="35"/>
        <v>574.8486015098764</v>
      </c>
      <c r="AA146" s="244">
        <f t="shared" si="44"/>
        <v>5418.6516001264627</v>
      </c>
      <c r="AB146" s="244">
        <f t="shared" si="45"/>
        <v>4844.7112324938144</v>
      </c>
      <c r="AC146" s="244">
        <f t="shared" si="46"/>
        <v>4391.9141643578014</v>
      </c>
      <c r="AD146" s="446">
        <f t="shared" si="36"/>
        <v>2877.7851111111108</v>
      </c>
      <c r="AE146" s="244">
        <f t="shared" si="47"/>
        <v>5755.5702222222226</v>
      </c>
      <c r="AF146" s="244">
        <f t="shared" si="37"/>
        <v>1232.8821692717559</v>
      </c>
      <c r="AG146" s="244">
        <f t="shared" si="38"/>
        <v>636.41531132994112</v>
      </c>
      <c r="AH146" s="244">
        <f t="shared" si="39"/>
        <v>347.69068639710264</v>
      </c>
      <c r="AI146" s="244">
        <f t="shared" si="48"/>
        <v>3277.4102420119739</v>
      </c>
      <c r="AJ146" s="244">
        <f t="shared" si="49"/>
        <v>2930.2688906212584</v>
      </c>
      <c r="AK146" s="244">
        <f t="shared" si="50"/>
        <v>2656.399696184154</v>
      </c>
      <c r="AL146" s="447">
        <f t="shared" si="40"/>
        <v>1740.5958333333331</v>
      </c>
      <c r="AM146" s="244">
        <f t="shared" si="24"/>
        <v>3481.1916666666675</v>
      </c>
      <c r="AN146" s="244"/>
    </row>
    <row r="147" spans="1:40" x14ac:dyDescent="0.2">
      <c r="A147" s="298"/>
      <c r="B147" s="298"/>
      <c r="C147" s="298"/>
      <c r="D147" s="298"/>
      <c r="E147" s="298"/>
      <c r="F147" s="298"/>
      <c r="G147" s="298"/>
      <c r="H147" s="298"/>
      <c r="I147" s="298"/>
      <c r="J147" s="298"/>
      <c r="K147" s="297"/>
      <c r="L147" s="297"/>
      <c r="M147" s="297"/>
      <c r="N147" s="297"/>
      <c r="O147" s="297"/>
      <c r="P147" s="297"/>
      <c r="Q147" s="297"/>
      <c r="R147" s="297"/>
      <c r="T147" s="244">
        <v>8300</v>
      </c>
      <c r="U147" s="244">
        <f t="shared" si="41"/>
        <v>70.533768964417305</v>
      </c>
      <c r="V147" s="244">
        <f t="shared" si="42"/>
        <v>36.117188207215776</v>
      </c>
      <c r="W147" s="244">
        <f t="shared" si="43"/>
        <v>19.586848784269097</v>
      </c>
      <c r="X147" s="244">
        <f t="shared" si="33"/>
        <v>2029.8103015635106</v>
      </c>
      <c r="Y147" s="244">
        <f t="shared" si="34"/>
        <v>1039.3750647792335</v>
      </c>
      <c r="Z147" s="244">
        <f t="shared" si="35"/>
        <v>563.6674180495437</v>
      </c>
      <c r="AA147" s="244">
        <f t="shared" si="44"/>
        <v>5418.6516001264627</v>
      </c>
      <c r="AB147" s="244">
        <f t="shared" si="45"/>
        <v>4844.7112324938144</v>
      </c>
      <c r="AC147" s="244">
        <f t="shared" si="46"/>
        <v>4391.9141643578014</v>
      </c>
      <c r="AD147" s="446">
        <f t="shared" si="36"/>
        <v>2877.7851111111108</v>
      </c>
      <c r="AE147" s="244">
        <f t="shared" si="47"/>
        <v>5755.5702222222226</v>
      </c>
      <c r="AF147" s="244">
        <f t="shared" si="37"/>
        <v>1227.7078436876072</v>
      </c>
      <c r="AG147" s="244">
        <f t="shared" si="38"/>
        <v>628.65427305195578</v>
      </c>
      <c r="AH147" s="244">
        <f t="shared" si="39"/>
        <v>340.92787382028854</v>
      </c>
      <c r="AI147" s="244">
        <f t="shared" si="48"/>
        <v>3277.4102420119739</v>
      </c>
      <c r="AJ147" s="244">
        <f t="shared" si="49"/>
        <v>2930.2688906212584</v>
      </c>
      <c r="AK147" s="244">
        <f t="shared" si="50"/>
        <v>2656.399696184154</v>
      </c>
      <c r="AL147" s="447">
        <f t="shared" si="40"/>
        <v>1740.5958333333331</v>
      </c>
      <c r="AM147" s="244">
        <f t="shared" si="24"/>
        <v>3481.1916666666675</v>
      </c>
      <c r="AN147" s="244"/>
    </row>
    <row r="148" spans="1:40" x14ac:dyDescent="0.2">
      <c r="A148" s="298"/>
      <c r="B148" s="298"/>
      <c r="C148" s="298"/>
      <c r="D148" s="298"/>
      <c r="E148" s="298"/>
      <c r="F148" s="298"/>
      <c r="G148" s="298"/>
      <c r="H148" s="298"/>
      <c r="I148" s="298"/>
      <c r="J148" s="298"/>
      <c r="K148" s="298"/>
      <c r="L148" s="298"/>
      <c r="M148" s="298"/>
      <c r="N148" s="298"/>
      <c r="O148" s="298"/>
      <c r="P148" s="298"/>
      <c r="Q148" s="298"/>
      <c r="R148" s="298"/>
      <c r="T148" s="244">
        <v>8400</v>
      </c>
      <c r="U148" s="244">
        <f t="shared" si="41"/>
        <v>70.237743363272799</v>
      </c>
      <c r="V148" s="244">
        <f t="shared" si="42"/>
        <v>35.67674173275298</v>
      </c>
      <c r="W148" s="244">
        <f t="shared" si="43"/>
        <v>19.205871690315181</v>
      </c>
      <c r="X148" s="244">
        <f t="shared" si="33"/>
        <v>2021.2913208886969</v>
      </c>
      <c r="Y148" s="244">
        <f t="shared" si="34"/>
        <v>1026.6999617147294</v>
      </c>
      <c r="Z148" s="244">
        <f t="shared" si="35"/>
        <v>552.70371596299412</v>
      </c>
      <c r="AA148" s="244">
        <f t="shared" si="44"/>
        <v>5418.6516001264627</v>
      </c>
      <c r="AB148" s="244">
        <f t="shared" si="45"/>
        <v>4844.7112324938144</v>
      </c>
      <c r="AC148" s="244">
        <f t="shared" si="46"/>
        <v>4391.9141643578014</v>
      </c>
      <c r="AD148" s="446">
        <f t="shared" si="36"/>
        <v>2877.7851111111108</v>
      </c>
      <c r="AE148" s="244">
        <f t="shared" si="47"/>
        <v>5755.5702222222226</v>
      </c>
      <c r="AF148" s="244">
        <f t="shared" si="37"/>
        <v>1222.5552344084861</v>
      </c>
      <c r="AG148" s="244">
        <f t="shared" si="38"/>
        <v>620.98788006939276</v>
      </c>
      <c r="AH148" s="244">
        <f t="shared" si="39"/>
        <v>334.29660239697222</v>
      </c>
      <c r="AI148" s="244">
        <f t="shared" si="48"/>
        <v>3277.4102420119739</v>
      </c>
      <c r="AJ148" s="244">
        <f t="shared" si="49"/>
        <v>2930.2688906212584</v>
      </c>
      <c r="AK148" s="244">
        <f t="shared" si="50"/>
        <v>2656.399696184154</v>
      </c>
      <c r="AL148" s="447">
        <f t="shared" si="40"/>
        <v>1740.5958333333331</v>
      </c>
      <c r="AM148" s="244">
        <f t="shared" si="24"/>
        <v>3481.1916666666675</v>
      </c>
      <c r="AN148" s="244"/>
    </row>
    <row r="149" spans="1:40" x14ac:dyDescent="0.2">
      <c r="A149" s="298"/>
      <c r="B149" s="298"/>
      <c r="C149" s="298"/>
      <c r="D149" s="298"/>
      <c r="E149" s="298"/>
      <c r="F149" s="298"/>
      <c r="G149" s="298"/>
      <c r="H149" s="298"/>
      <c r="I149" s="298"/>
      <c r="J149" s="298"/>
      <c r="K149" s="298"/>
      <c r="L149" s="298"/>
      <c r="M149" s="298"/>
      <c r="N149" s="298"/>
      <c r="O149" s="298"/>
      <c r="P149" s="298"/>
      <c r="Q149" s="298"/>
      <c r="R149" s="298"/>
      <c r="T149" s="244">
        <v>8500</v>
      </c>
      <c r="U149" s="244">
        <f t="shared" si="41"/>
        <v>69.94296016215624</v>
      </c>
      <c r="V149" s="244">
        <f t="shared" si="42"/>
        <v>35.241666470903802</v>
      </c>
      <c r="W149" s="244">
        <f t="shared" si="43"/>
        <v>18.832304851462339</v>
      </c>
      <c r="X149" s="244">
        <f t="shared" si="33"/>
        <v>2012.808093816908</v>
      </c>
      <c r="Y149" s="244">
        <f t="shared" si="34"/>
        <v>1014.179430607106</v>
      </c>
      <c r="Z149" s="244">
        <f t="shared" si="35"/>
        <v>541.95326509443862</v>
      </c>
      <c r="AA149" s="244">
        <f t="shared" si="44"/>
        <v>5418.6516001264627</v>
      </c>
      <c r="AB149" s="244">
        <f t="shared" si="45"/>
        <v>4844.7112324938144</v>
      </c>
      <c r="AC149" s="244">
        <f t="shared" si="46"/>
        <v>4391.9141643578014</v>
      </c>
      <c r="AD149" s="446">
        <f t="shared" si="36"/>
        <v>2877.7851111111108</v>
      </c>
      <c r="AE149" s="244">
        <f t="shared" si="47"/>
        <v>5755.5702222222226</v>
      </c>
      <c r="AF149" s="244">
        <f t="shared" si="37"/>
        <v>1217.4242502924844</v>
      </c>
      <c r="AG149" s="244">
        <f t="shared" si="38"/>
        <v>613.41497818978178</v>
      </c>
      <c r="AH149" s="244">
        <f t="shared" si="39"/>
        <v>327.79431356518467</v>
      </c>
      <c r="AI149" s="244">
        <f t="shared" si="48"/>
        <v>3277.4102420119739</v>
      </c>
      <c r="AJ149" s="244">
        <f t="shared" si="49"/>
        <v>2930.2688906212584</v>
      </c>
      <c r="AK149" s="244">
        <f t="shared" si="50"/>
        <v>2656.399696184154</v>
      </c>
      <c r="AL149" s="447">
        <f t="shared" si="40"/>
        <v>1740.5958333333331</v>
      </c>
      <c r="AM149" s="244">
        <f t="shared" ref="AM149:AM164" si="51">IF(T149&lt;$Y$58*$Z$57,AM148+AL149*100/1000*$AB$59,AM148)</f>
        <v>3481.1916666666675</v>
      </c>
      <c r="AN149" s="244"/>
    </row>
    <row r="150" spans="1:40" x14ac:dyDescent="0.2">
      <c r="A150" s="298"/>
      <c r="B150" s="298"/>
      <c r="C150" s="298"/>
      <c r="D150" s="298"/>
      <c r="E150" s="298"/>
      <c r="F150" s="298"/>
      <c r="G150" s="298"/>
      <c r="H150" s="298"/>
      <c r="I150" s="298"/>
      <c r="J150" s="298"/>
      <c r="K150" s="298"/>
      <c r="L150" s="298"/>
      <c r="M150" s="298"/>
      <c r="N150" s="298"/>
      <c r="O150" s="298"/>
      <c r="P150" s="298"/>
      <c r="Q150" s="298"/>
      <c r="R150" s="298"/>
      <c r="T150" s="244">
        <v>8600</v>
      </c>
      <c r="U150" s="244">
        <f t="shared" si="41"/>
        <v>69.649414146796232</v>
      </c>
      <c r="V150" s="244">
        <f t="shared" si="42"/>
        <v>34.811896920122386</v>
      </c>
      <c r="W150" s="244">
        <f t="shared" si="43"/>
        <v>18.46600413337406</v>
      </c>
      <c r="X150" s="244">
        <f t="shared" si="33"/>
        <v>2004.3604702926177</v>
      </c>
      <c r="Y150" s="244">
        <f t="shared" si="34"/>
        <v>1001.8115864626293</v>
      </c>
      <c r="Z150" s="244">
        <f t="shared" si="35"/>
        <v>531.41191756740102</v>
      </c>
      <c r="AA150" s="244">
        <f t="shared" si="44"/>
        <v>5418.6516001264627</v>
      </c>
      <c r="AB150" s="244">
        <f t="shared" si="45"/>
        <v>4844.7112324938144</v>
      </c>
      <c r="AC150" s="244">
        <f t="shared" si="46"/>
        <v>4391.9141643578014</v>
      </c>
      <c r="AD150" s="446">
        <f t="shared" si="36"/>
        <v>2877.7851111111108</v>
      </c>
      <c r="AE150" s="244">
        <f t="shared" si="47"/>
        <v>5755.5702222222226</v>
      </c>
      <c r="AF150" s="244">
        <f t="shared" si="37"/>
        <v>1212.3148005802122</v>
      </c>
      <c r="AG150" s="244">
        <f t="shared" si="38"/>
        <v>605.93442729594517</v>
      </c>
      <c r="AH150" s="244">
        <f t="shared" si="39"/>
        <v>321.41849852866994</v>
      </c>
      <c r="AI150" s="244">
        <f t="shared" si="48"/>
        <v>3277.4102420119739</v>
      </c>
      <c r="AJ150" s="244">
        <f t="shared" si="49"/>
        <v>2930.2688906212584</v>
      </c>
      <c r="AK150" s="244">
        <f t="shared" si="50"/>
        <v>2656.399696184154</v>
      </c>
      <c r="AL150" s="447">
        <f t="shared" si="40"/>
        <v>1740.5958333333331</v>
      </c>
      <c r="AM150" s="244">
        <f t="shared" si="51"/>
        <v>3481.1916666666675</v>
      </c>
      <c r="AN150" s="244"/>
    </row>
    <row r="151" spans="1:40" x14ac:dyDescent="0.2">
      <c r="A151" s="298"/>
      <c r="B151" s="298"/>
      <c r="C151" s="298"/>
      <c r="D151" s="298"/>
      <c r="E151" s="298"/>
      <c r="F151" s="298"/>
      <c r="G151" s="298"/>
      <c r="H151" s="298"/>
      <c r="I151" s="298"/>
      <c r="J151" s="298"/>
      <c r="K151" s="298"/>
      <c r="L151" s="298"/>
      <c r="M151" s="298"/>
      <c r="N151" s="298"/>
      <c r="O151" s="298"/>
      <c r="P151" s="298"/>
      <c r="Q151" s="298"/>
      <c r="R151" s="298"/>
      <c r="T151" s="244">
        <v>8700</v>
      </c>
      <c r="U151" s="244">
        <f t="shared" si="41"/>
        <v>69.357100124805299</v>
      </c>
      <c r="V151" s="244">
        <f t="shared" si="42"/>
        <v>34.387368377649452</v>
      </c>
      <c r="W151" s="244">
        <f t="shared" si="43"/>
        <v>18.106828205221486</v>
      </c>
      <c r="X151" s="244">
        <f t="shared" si="33"/>
        <v>1995.9483008900727</v>
      </c>
      <c r="Y151" s="244">
        <f t="shared" si="34"/>
        <v>989.59456727492625</v>
      </c>
      <c r="Z151" s="244">
        <f t="shared" si="35"/>
        <v>521.07560618433115</v>
      </c>
      <c r="AA151" s="244">
        <f t="shared" si="44"/>
        <v>5418.6516001264627</v>
      </c>
      <c r="AB151" s="244">
        <f t="shared" si="45"/>
        <v>4844.7112324938144</v>
      </c>
      <c r="AC151" s="244">
        <f t="shared" si="46"/>
        <v>4391.9141643578014</v>
      </c>
      <c r="AD151" s="446">
        <f t="shared" si="36"/>
        <v>2877.7851111111108</v>
      </c>
      <c r="AE151" s="244">
        <f t="shared" si="47"/>
        <v>5755.5702222222226</v>
      </c>
      <c r="AF151" s="244">
        <f t="shared" si="37"/>
        <v>1207.226794893189</v>
      </c>
      <c r="AG151" s="244">
        <f t="shared" si="38"/>
        <v>598.54510117435052</v>
      </c>
      <c r="AH151" s="244">
        <f t="shared" si="39"/>
        <v>315.16669728890992</v>
      </c>
      <c r="AI151" s="244">
        <f t="shared" si="48"/>
        <v>3277.4102420119739</v>
      </c>
      <c r="AJ151" s="244">
        <f t="shared" si="49"/>
        <v>2930.2688906212584</v>
      </c>
      <c r="AK151" s="244">
        <f t="shared" si="50"/>
        <v>2656.399696184154</v>
      </c>
      <c r="AL151" s="447">
        <f t="shared" si="40"/>
        <v>1740.5958333333331</v>
      </c>
      <c r="AM151" s="244">
        <f t="shared" si="51"/>
        <v>3481.1916666666675</v>
      </c>
      <c r="AN151" s="244"/>
    </row>
    <row r="152" spans="1:40" x14ac:dyDescent="0.2">
      <c r="A152" s="298"/>
      <c r="B152" s="298"/>
      <c r="C152" s="298"/>
      <c r="D152" s="298"/>
      <c r="E152" s="298"/>
      <c r="F152" s="298"/>
      <c r="G152" s="298"/>
      <c r="H152" s="298"/>
      <c r="I152" s="298"/>
      <c r="J152" s="298"/>
      <c r="K152" s="298"/>
      <c r="L152" s="298"/>
      <c r="M152" s="298"/>
      <c r="N152" s="298"/>
      <c r="O152" s="298"/>
      <c r="P152" s="298"/>
      <c r="Q152" s="298"/>
      <c r="R152" s="298"/>
      <c r="T152" s="244">
        <v>8800</v>
      </c>
      <c r="U152" s="244">
        <f t="shared" si="41"/>
        <v>69.066012925588097</v>
      </c>
      <c r="V152" s="244">
        <f t="shared" si="42"/>
        <v>33.96801692977116</v>
      </c>
      <c r="W152" s="244">
        <f t="shared" si="43"/>
        <v>17.754638485153379</v>
      </c>
      <c r="X152" s="244">
        <f t="shared" si="33"/>
        <v>1987.5714368106494</v>
      </c>
      <c r="Y152" s="244">
        <f t="shared" si="34"/>
        <v>977.52653374465592</v>
      </c>
      <c r="Z152" s="244">
        <f t="shared" si="35"/>
        <v>510.94034285734722</v>
      </c>
      <c r="AA152" s="244">
        <f t="shared" si="44"/>
        <v>5418.6516001264627</v>
      </c>
      <c r="AB152" s="244">
        <f t="shared" si="45"/>
        <v>4844.7112324938144</v>
      </c>
      <c r="AC152" s="244">
        <f t="shared" si="46"/>
        <v>4391.9141643578014</v>
      </c>
      <c r="AD152" s="446">
        <f t="shared" si="36"/>
        <v>2877.7851111111108</v>
      </c>
      <c r="AE152" s="244">
        <f t="shared" si="47"/>
        <v>5755.5702222222226</v>
      </c>
      <c r="AF152" s="244">
        <f t="shared" si="37"/>
        <v>1202.1601432322477</v>
      </c>
      <c r="AG152" s="244">
        <f t="shared" si="38"/>
        <v>591.245887345558</v>
      </c>
      <c r="AH152" s="244">
        <f t="shared" si="39"/>
        <v>309.0364976959761</v>
      </c>
      <c r="AI152" s="244">
        <f t="shared" si="48"/>
        <v>3277.4102420119739</v>
      </c>
      <c r="AJ152" s="244">
        <f t="shared" si="49"/>
        <v>2930.2688906212584</v>
      </c>
      <c r="AK152" s="244">
        <f t="shared" si="50"/>
        <v>2656.399696184154</v>
      </c>
      <c r="AL152" s="447">
        <f t="shared" si="40"/>
        <v>1740.5958333333331</v>
      </c>
      <c r="AM152" s="244">
        <f t="shared" si="51"/>
        <v>3481.1916666666675</v>
      </c>
      <c r="AN152" s="244"/>
    </row>
    <row r="153" spans="1:40" x14ac:dyDescent="0.2">
      <c r="A153" s="298"/>
      <c r="B153" s="298"/>
      <c r="C153" s="298"/>
      <c r="D153" s="298"/>
      <c r="E153" s="298"/>
      <c r="F153" s="298"/>
      <c r="G153" s="298"/>
      <c r="H153" s="298"/>
      <c r="I153" s="298"/>
      <c r="J153" s="298"/>
      <c r="K153" s="298"/>
      <c r="L153" s="298"/>
      <c r="M153" s="298"/>
      <c r="N153" s="298"/>
      <c r="O153" s="298"/>
      <c r="P153" s="298"/>
      <c r="Q153" s="298"/>
      <c r="R153" s="298"/>
      <c r="T153" s="244">
        <v>8900</v>
      </c>
      <c r="U153" s="244">
        <f t="shared" si="41"/>
        <v>68.776147400249926</v>
      </c>
      <c r="V153" s="244">
        <f t="shared" si="42"/>
        <v>33.553779442196721</v>
      </c>
      <c r="W153" s="244">
        <f t="shared" si="43"/>
        <v>17.40929908682665</v>
      </c>
      <c r="X153" s="244">
        <f t="shared" si="33"/>
        <v>1979.2297298802237</v>
      </c>
      <c r="Y153" s="244">
        <f t="shared" si="34"/>
        <v>965.60566900259801</v>
      </c>
      <c r="Z153" s="244">
        <f t="shared" si="35"/>
        <v>501.00221706949992</v>
      </c>
      <c r="AA153" s="244">
        <f t="shared" si="44"/>
        <v>5418.6516001264627</v>
      </c>
      <c r="AB153" s="244">
        <f t="shared" si="45"/>
        <v>4844.7112324938144</v>
      </c>
      <c r="AC153" s="244">
        <f t="shared" si="46"/>
        <v>4391.9141643578014</v>
      </c>
      <c r="AD153" s="446">
        <f t="shared" si="36"/>
        <v>2877.7851111111108</v>
      </c>
      <c r="AE153" s="244">
        <f t="shared" si="47"/>
        <v>5755.5702222222226</v>
      </c>
      <c r="AF153" s="244">
        <f t="shared" si="37"/>
        <v>1197.1147559759418</v>
      </c>
      <c r="AG153" s="244">
        <f t="shared" si="38"/>
        <v>584.03568689673261</v>
      </c>
      <c r="AH153" s="244">
        <f t="shared" si="39"/>
        <v>303.02553451784269</v>
      </c>
      <c r="AI153" s="244">
        <f t="shared" si="48"/>
        <v>3277.4102420119739</v>
      </c>
      <c r="AJ153" s="244">
        <f t="shared" si="49"/>
        <v>2930.2688906212584</v>
      </c>
      <c r="AK153" s="244">
        <f t="shared" si="50"/>
        <v>2656.399696184154</v>
      </c>
      <c r="AL153" s="447">
        <f t="shared" si="40"/>
        <v>1740.5958333333331</v>
      </c>
      <c r="AM153" s="244">
        <f t="shared" si="51"/>
        <v>3481.1916666666675</v>
      </c>
      <c r="AN153" s="244"/>
    </row>
    <row r="154" spans="1:40" x14ac:dyDescent="0.2">
      <c r="A154" s="298"/>
      <c r="B154" s="298"/>
      <c r="C154" s="298"/>
      <c r="D154" s="298"/>
      <c r="E154" s="298"/>
      <c r="F154" s="298"/>
      <c r="G154" s="298"/>
      <c r="H154" s="298"/>
      <c r="I154" s="298"/>
      <c r="J154" s="298"/>
      <c r="K154" s="298"/>
      <c r="L154" s="298"/>
      <c r="M154" s="298"/>
      <c r="N154" s="298"/>
      <c r="O154" s="298"/>
      <c r="P154" s="298"/>
      <c r="Q154" s="298"/>
      <c r="R154" s="298"/>
      <c r="T154" s="244">
        <v>9000</v>
      </c>
      <c r="U154" s="244">
        <f t="shared" si="41"/>
        <v>68.487498421505677</v>
      </c>
      <c r="V154" s="244">
        <f t="shared" si="42"/>
        <v>33.144593550553452</v>
      </c>
      <c r="W154" s="244">
        <f t="shared" si="43"/>
        <v>17.070676766976987</v>
      </c>
      <c r="X154" s="244">
        <f t="shared" si="33"/>
        <v>1970.9230325465476</v>
      </c>
      <c r="Y154" s="244">
        <f t="shared" si="34"/>
        <v>953.83017833612075</v>
      </c>
      <c r="Z154" s="244">
        <f t="shared" si="35"/>
        <v>491.25739436596729</v>
      </c>
      <c r="AA154" s="244">
        <f t="shared" si="44"/>
        <v>5418.6516001264627</v>
      </c>
      <c r="AB154" s="244">
        <f t="shared" si="45"/>
        <v>4844.7112324938144</v>
      </c>
      <c r="AC154" s="244">
        <f t="shared" si="46"/>
        <v>4391.9141643578014</v>
      </c>
      <c r="AD154" s="446">
        <f t="shared" si="36"/>
        <v>2877.7851111111108</v>
      </c>
      <c r="AE154" s="244">
        <f t="shared" si="47"/>
        <v>5755.5702222222226</v>
      </c>
      <c r="AF154" s="244">
        <f t="shared" si="37"/>
        <v>1192.09054387896</v>
      </c>
      <c r="AG154" s="244">
        <f t="shared" si="38"/>
        <v>576.91341431620208</v>
      </c>
      <c r="AH154" s="244">
        <f t="shared" si="39"/>
        <v>297.13148852780273</v>
      </c>
      <c r="AI154" s="244">
        <f t="shared" si="48"/>
        <v>3277.4102420119739</v>
      </c>
      <c r="AJ154" s="244">
        <f t="shared" si="49"/>
        <v>2930.2688906212584</v>
      </c>
      <c r="AK154" s="244">
        <f t="shared" si="50"/>
        <v>2656.399696184154</v>
      </c>
      <c r="AL154" s="447">
        <f t="shared" si="40"/>
        <v>1740.5958333333331</v>
      </c>
      <c r="AM154" s="244">
        <f t="shared" si="51"/>
        <v>3481.1916666666675</v>
      </c>
      <c r="AN154" s="244"/>
    </row>
    <row r="155" spans="1:40" x14ac:dyDescent="0.2">
      <c r="A155" s="298"/>
      <c r="B155" s="298"/>
      <c r="C155" s="298"/>
      <c r="D155" s="298"/>
      <c r="E155" s="298"/>
      <c r="F155" s="298"/>
      <c r="G155" s="298"/>
      <c r="H155" s="298"/>
      <c r="I155" s="298"/>
      <c r="J155" s="298"/>
      <c r="K155" s="298"/>
      <c r="L155" s="298"/>
      <c r="M155" s="298"/>
      <c r="N155" s="298"/>
      <c r="O155" s="298"/>
      <c r="P155" s="298"/>
      <c r="Q155" s="298"/>
      <c r="R155" s="298"/>
      <c r="T155" s="244">
        <v>9100</v>
      </c>
      <c r="U155" s="244">
        <f t="shared" si="41"/>
        <v>68.200060883589089</v>
      </c>
      <c r="V155" s="244">
        <f t="shared" si="42"/>
        <v>32.740397650997608</v>
      </c>
      <c r="W155" s="244">
        <f t="shared" si="43"/>
        <v>16.738640874009214</v>
      </c>
      <c r="X155" s="244">
        <f t="shared" si="33"/>
        <v>1962.6511978766396</v>
      </c>
      <c r="Y155" s="244">
        <f t="shared" si="34"/>
        <v>942.19828891898101</v>
      </c>
      <c r="Z155" s="244">
        <f t="shared" si="35"/>
        <v>481.70211487459585</v>
      </c>
      <c r="AA155" s="244">
        <f t="shared" si="44"/>
        <v>5418.6516001264627</v>
      </c>
      <c r="AB155" s="244">
        <f t="shared" si="45"/>
        <v>4844.7112324938144</v>
      </c>
      <c r="AC155" s="244">
        <f t="shared" si="46"/>
        <v>4391.9141643578014</v>
      </c>
      <c r="AD155" s="446">
        <f t="shared" si="36"/>
        <v>2877.7851111111108</v>
      </c>
      <c r="AE155" s="244">
        <f t="shared" si="47"/>
        <v>5755.5702222222226</v>
      </c>
      <c r="AF155" s="244">
        <f t="shared" si="37"/>
        <v>1187.087418070548</v>
      </c>
      <c r="AG155" s="244">
        <f t="shared" si="38"/>
        <v>569.87799733002885</v>
      </c>
      <c r="AH155" s="244">
        <f t="shared" si="39"/>
        <v>291.35208560963457</v>
      </c>
      <c r="AI155" s="244">
        <f t="shared" si="48"/>
        <v>3277.4102420119739</v>
      </c>
      <c r="AJ155" s="244">
        <f t="shared" si="49"/>
        <v>2930.2688906212584</v>
      </c>
      <c r="AK155" s="244">
        <f t="shared" si="50"/>
        <v>2656.399696184154</v>
      </c>
      <c r="AL155" s="447">
        <f t="shared" si="40"/>
        <v>1740.5958333333331</v>
      </c>
      <c r="AM155" s="244">
        <f t="shared" si="51"/>
        <v>3481.1916666666675</v>
      </c>
      <c r="AN155" s="244"/>
    </row>
    <row r="156" spans="1:40" x14ac:dyDescent="0.2">
      <c r="A156" s="298"/>
      <c r="B156" s="298"/>
      <c r="C156" s="298"/>
      <c r="D156" s="298"/>
      <c r="E156" s="298"/>
      <c r="F156" s="298"/>
      <c r="G156" s="298"/>
      <c r="H156" s="298"/>
      <c r="I156" s="298"/>
      <c r="J156" s="298"/>
      <c r="K156" s="298"/>
      <c r="L156" s="298"/>
      <c r="M156" s="298"/>
      <c r="N156" s="298"/>
      <c r="O156" s="298"/>
      <c r="P156" s="298"/>
      <c r="Q156" s="298"/>
      <c r="R156" s="298"/>
      <c r="T156" s="244">
        <v>9200</v>
      </c>
      <c r="U156" s="244">
        <f t="shared" si="41"/>
        <v>67.913829702162474</v>
      </c>
      <c r="V156" s="244">
        <f t="shared" si="42"/>
        <v>32.341130890939837</v>
      </c>
      <c r="W156" s="244">
        <f t="shared" si="43"/>
        <v>16.413063297587634</v>
      </c>
      <c r="X156" s="244">
        <f t="shared" si="33"/>
        <v>1954.4140795541869</v>
      </c>
      <c r="Y156" s="244">
        <f t="shared" si="34"/>
        <v>930.70824954442276</v>
      </c>
      <c r="Z156" s="244">
        <f t="shared" si="35"/>
        <v>472.33269185521925</v>
      </c>
      <c r="AA156" s="244">
        <f t="shared" si="44"/>
        <v>5418.6516001264627</v>
      </c>
      <c r="AB156" s="244">
        <f t="shared" si="45"/>
        <v>4844.7112324938144</v>
      </c>
      <c r="AC156" s="244">
        <f t="shared" si="46"/>
        <v>4391.9141643578014</v>
      </c>
      <c r="AD156" s="446">
        <f t="shared" si="36"/>
        <v>2877.7851111111108</v>
      </c>
      <c r="AE156" s="244">
        <f t="shared" si="47"/>
        <v>5755.5702222222226</v>
      </c>
      <c r="AF156" s="244">
        <f t="shared" si="37"/>
        <v>1182.1052900529355</v>
      </c>
      <c r="AG156" s="244">
        <f t="shared" si="38"/>
        <v>562.92837674057819</v>
      </c>
      <c r="AH156" s="244">
        <f t="shared" si="39"/>
        <v>285.68509588017292</v>
      </c>
      <c r="AI156" s="244">
        <f t="shared" si="48"/>
        <v>3277.4102420119739</v>
      </c>
      <c r="AJ156" s="244">
        <f t="shared" si="49"/>
        <v>2930.2688906212584</v>
      </c>
      <c r="AK156" s="244">
        <f t="shared" si="50"/>
        <v>2656.399696184154</v>
      </c>
      <c r="AL156" s="447">
        <f t="shared" si="40"/>
        <v>1740.5958333333331</v>
      </c>
      <c r="AM156" s="244">
        <f t="shared" si="51"/>
        <v>3481.1916666666675</v>
      </c>
      <c r="AN156" s="244"/>
    </row>
    <row r="157" spans="1:40" x14ac:dyDescent="0.2">
      <c r="A157" s="298"/>
      <c r="B157" s="298"/>
      <c r="C157" s="298"/>
      <c r="D157" s="298"/>
      <c r="E157" s="298"/>
      <c r="F157" s="298"/>
      <c r="G157" s="298"/>
      <c r="H157" s="298"/>
      <c r="I157" s="298"/>
      <c r="J157" s="298"/>
      <c r="K157" s="298"/>
      <c r="L157" s="298"/>
      <c r="M157" s="298"/>
      <c r="N157" s="298"/>
      <c r="O157" s="298"/>
      <c r="P157" s="298"/>
      <c r="Q157" s="298"/>
      <c r="R157" s="298"/>
      <c r="T157" s="244">
        <v>9300</v>
      </c>
      <c r="U157" s="244">
        <f t="shared" si="41"/>
        <v>67.628799814226809</v>
      </c>
      <c r="V157" s="244">
        <f t="shared" si="42"/>
        <v>31.946733159883685</v>
      </c>
      <c r="W157" s="244">
        <f t="shared" si="43"/>
        <v>16.093818419206858</v>
      </c>
      <c r="X157" s="244">
        <f t="shared" si="33"/>
        <v>1946.2115318769577</v>
      </c>
      <c r="Y157" s="244">
        <f t="shared" si="34"/>
        <v>919.35833036152883</v>
      </c>
      <c r="Z157" s="244">
        <f t="shared" si="35"/>
        <v>463.1455102771925</v>
      </c>
      <c r="AA157" s="244">
        <f t="shared" si="44"/>
        <v>5418.6516001264627</v>
      </c>
      <c r="AB157" s="244">
        <f t="shared" si="45"/>
        <v>4844.7112324938144</v>
      </c>
      <c r="AC157" s="244">
        <f t="shared" si="46"/>
        <v>4391.9141643578014</v>
      </c>
      <c r="AD157" s="446">
        <f t="shared" si="36"/>
        <v>2877.7851111111108</v>
      </c>
      <c r="AE157" s="244">
        <f t="shared" si="47"/>
        <v>5755.5702222222226</v>
      </c>
      <c r="AF157" s="244">
        <f t="shared" si="37"/>
        <v>1177.1440716997727</v>
      </c>
      <c r="AG157" s="244">
        <f t="shared" si="38"/>
        <v>556.06350626705364</v>
      </c>
      <c r="AH157" s="244">
        <f t="shared" si="39"/>
        <v>280.12833282894707</v>
      </c>
      <c r="AI157" s="244">
        <f t="shared" si="48"/>
        <v>3277.4102420119739</v>
      </c>
      <c r="AJ157" s="244">
        <f t="shared" si="49"/>
        <v>2930.2688906212584</v>
      </c>
      <c r="AK157" s="244">
        <f t="shared" si="50"/>
        <v>2656.399696184154</v>
      </c>
      <c r="AL157" s="447">
        <f t="shared" si="40"/>
        <v>1740.5958333333331</v>
      </c>
      <c r="AM157" s="244">
        <f t="shared" si="51"/>
        <v>3481.1916666666675</v>
      </c>
      <c r="AN157" s="244"/>
    </row>
    <row r="158" spans="1:40" x14ac:dyDescent="0.2">
      <c r="A158" s="298"/>
      <c r="B158" s="298"/>
      <c r="C158" s="298"/>
      <c r="D158" s="298"/>
      <c r="E158" s="298"/>
      <c r="F158" s="298"/>
      <c r="G158" s="298"/>
      <c r="H158" s="298"/>
      <c r="I158" s="298"/>
      <c r="J158" s="298"/>
      <c r="K158" s="298"/>
      <c r="L158" s="298"/>
      <c r="M158" s="298"/>
      <c r="N158" s="298"/>
      <c r="O158" s="298"/>
      <c r="P158" s="298"/>
      <c r="Q158" s="298"/>
      <c r="R158" s="298"/>
      <c r="T158" s="244">
        <v>9400</v>
      </c>
      <c r="U158" s="244">
        <f t="shared" si="41"/>
        <v>67.344966178032095</v>
      </c>
      <c r="V158" s="244">
        <f t="shared" si="42"/>
        <v>31.557145080375793</v>
      </c>
      <c r="W158" s="244">
        <f t="shared" si="43"/>
        <v>15.78078306372406</v>
      </c>
      <c r="X158" s="244">
        <f t="shared" si="33"/>
        <v>1938.0434097542209</v>
      </c>
      <c r="Y158" s="244">
        <f t="shared" si="34"/>
        <v>908.14682261478697</v>
      </c>
      <c r="Z158" s="244">
        <f t="shared" si="35"/>
        <v>454.13702542459481</v>
      </c>
      <c r="AA158" s="244">
        <f t="shared" si="44"/>
        <v>5418.6516001264627</v>
      </c>
      <c r="AB158" s="244">
        <f t="shared" si="45"/>
        <v>4844.7112324938144</v>
      </c>
      <c r="AC158" s="244">
        <f t="shared" si="46"/>
        <v>4391.9141643578014</v>
      </c>
      <c r="AD158" s="446">
        <f t="shared" si="36"/>
        <v>2877.7851111111108</v>
      </c>
      <c r="AE158" s="244">
        <f t="shared" si="47"/>
        <v>5755.5702222222226</v>
      </c>
      <c r="AF158" s="244">
        <f t="shared" si="37"/>
        <v>1172.2036752545691</v>
      </c>
      <c r="AG158" s="244">
        <f t="shared" si="38"/>
        <v>549.28235238797595</v>
      </c>
      <c r="AH158" s="244">
        <f t="shared" si="39"/>
        <v>274.67965247455328</v>
      </c>
      <c r="AI158" s="244">
        <f t="shared" si="48"/>
        <v>3277.4102420119739</v>
      </c>
      <c r="AJ158" s="244">
        <f t="shared" si="49"/>
        <v>2930.2688906212584</v>
      </c>
      <c r="AK158" s="244">
        <f t="shared" si="50"/>
        <v>2656.399696184154</v>
      </c>
      <c r="AL158" s="447">
        <f t="shared" si="40"/>
        <v>1740.5958333333331</v>
      </c>
      <c r="AM158" s="244">
        <f t="shared" si="51"/>
        <v>3481.1916666666675</v>
      </c>
      <c r="AN158" s="244"/>
    </row>
    <row r="159" spans="1:40" x14ac:dyDescent="0.2">
      <c r="A159" s="298"/>
      <c r="B159" s="298"/>
      <c r="C159" s="298"/>
      <c r="D159" s="298"/>
      <c r="E159" s="298"/>
      <c r="F159" s="298"/>
      <c r="G159" s="298"/>
      <c r="H159" s="298"/>
      <c r="I159" s="298"/>
      <c r="J159" s="298"/>
      <c r="K159" s="298"/>
      <c r="L159" s="298"/>
      <c r="M159" s="298"/>
      <c r="N159" s="298"/>
      <c r="O159" s="298"/>
      <c r="P159" s="298"/>
      <c r="Q159" s="298"/>
      <c r="R159" s="298"/>
      <c r="T159" s="244">
        <v>9500</v>
      </c>
      <c r="U159" s="244">
        <f t="shared" si="41"/>
        <v>67.062323772988279</v>
      </c>
      <c r="V159" s="244">
        <f t="shared" si="42"/>
        <v>31.172307999066533</v>
      </c>
      <c r="W159" s="244">
        <f t="shared" si="43"/>
        <v>15.47383645183398</v>
      </c>
      <c r="X159" s="244">
        <f t="shared" si="33"/>
        <v>1929.9095687041836</v>
      </c>
      <c r="Y159" s="244">
        <f t="shared" si="34"/>
        <v>897.07203838683449</v>
      </c>
      <c r="Z159" s="244">
        <f t="shared" si="35"/>
        <v>445.30376152856212</v>
      </c>
      <c r="AA159" s="244">
        <f t="shared" si="44"/>
        <v>5418.6516001264627</v>
      </c>
      <c r="AB159" s="244">
        <f t="shared" si="45"/>
        <v>4844.7112324938144</v>
      </c>
      <c r="AC159" s="244">
        <f t="shared" si="46"/>
        <v>4391.9141643578014</v>
      </c>
      <c r="AD159" s="446">
        <f t="shared" si="36"/>
        <v>2877.7851111111108</v>
      </c>
      <c r="AE159" s="244">
        <f t="shared" si="47"/>
        <v>5755.5702222222226</v>
      </c>
      <c r="AF159" s="244">
        <f t="shared" si="37"/>
        <v>1167.2840133291431</v>
      </c>
      <c r="AG159" s="244">
        <f t="shared" si="38"/>
        <v>542.58389418558534</v>
      </c>
      <c r="AH159" s="244">
        <f t="shared" si="39"/>
        <v>269.33695253743673</v>
      </c>
      <c r="AI159" s="244">
        <f t="shared" si="48"/>
        <v>3277.4102420119739</v>
      </c>
      <c r="AJ159" s="244">
        <f t="shared" si="49"/>
        <v>2930.2688906212584</v>
      </c>
      <c r="AK159" s="244">
        <f t="shared" si="50"/>
        <v>2656.399696184154</v>
      </c>
      <c r="AL159" s="447">
        <f t="shared" si="40"/>
        <v>1740.5958333333331</v>
      </c>
      <c r="AM159" s="244">
        <f t="shared" si="51"/>
        <v>3481.1916666666675</v>
      </c>
      <c r="AN159" s="244"/>
    </row>
    <row r="160" spans="1:40" x14ac:dyDescent="0.2">
      <c r="A160" s="298"/>
      <c r="B160" s="298"/>
      <c r="C160" s="298"/>
      <c r="D160" s="298"/>
      <c r="E160" s="298"/>
      <c r="F160" s="298"/>
      <c r="G160" s="298"/>
      <c r="H160" s="298"/>
      <c r="I160" s="298"/>
      <c r="J160" s="298"/>
      <c r="K160" s="298"/>
      <c r="L160" s="298"/>
      <c r="M160" s="298"/>
      <c r="N160" s="298"/>
      <c r="O160" s="298"/>
      <c r="P160" s="298"/>
      <c r="Q160" s="298"/>
      <c r="R160" s="298"/>
      <c r="T160" s="244">
        <v>9600</v>
      </c>
      <c r="U160" s="244">
        <f t="shared" si="41"/>
        <v>66.780867599576339</v>
      </c>
      <c r="V160" s="244">
        <f t="shared" si="42"/>
        <v>30.792163977879579</v>
      </c>
      <c r="W160" s="244">
        <f t="shared" si="43"/>
        <v>15.172860153468287</v>
      </c>
      <c r="X160" s="244">
        <f t="shared" si="33"/>
        <v>1921.8098648514319</v>
      </c>
      <c r="Y160" s="244">
        <f t="shared" si="34"/>
        <v>886.13231034433727</v>
      </c>
      <c r="Z160" s="244">
        <f t="shared" si="35"/>
        <v>436.64231042622077</v>
      </c>
      <c r="AA160" s="244">
        <f t="shared" si="44"/>
        <v>5418.6516001264627</v>
      </c>
      <c r="AB160" s="244">
        <f t="shared" si="45"/>
        <v>4844.7112324938144</v>
      </c>
      <c r="AC160" s="244">
        <f t="shared" si="46"/>
        <v>4391.9141643578014</v>
      </c>
      <c r="AD160" s="446">
        <f t="shared" si="36"/>
        <v>2877.7851111111108</v>
      </c>
      <c r="AE160" s="244">
        <f t="shared" si="47"/>
        <v>5755.5702222222226</v>
      </c>
      <c r="AF160" s="244">
        <f t="shared" si="37"/>
        <v>1162.3849989020755</v>
      </c>
      <c r="AG160" s="244">
        <f t="shared" si="38"/>
        <v>535.96712319213952</v>
      </c>
      <c r="AH160" s="244">
        <f t="shared" si="39"/>
        <v>264.0981716287626</v>
      </c>
      <c r="AI160" s="244">
        <f t="shared" si="48"/>
        <v>3277.4102420119739</v>
      </c>
      <c r="AJ160" s="244">
        <f t="shared" si="49"/>
        <v>2930.2688906212584</v>
      </c>
      <c r="AK160" s="244">
        <f t="shared" si="50"/>
        <v>2656.399696184154</v>
      </c>
      <c r="AL160" s="447">
        <f t="shared" si="40"/>
        <v>1740.5958333333331</v>
      </c>
      <c r="AM160" s="244">
        <f t="shared" si="51"/>
        <v>3481.1916666666675</v>
      </c>
      <c r="AN160" s="244"/>
    </row>
    <row r="161" spans="1:40" x14ac:dyDescent="0.2">
      <c r="A161" s="298"/>
      <c r="B161" s="298"/>
      <c r="C161" s="298"/>
      <c r="D161" s="298"/>
      <c r="E161" s="298"/>
      <c r="F161" s="298"/>
      <c r="G161" s="298"/>
      <c r="H161" s="298"/>
      <c r="I161" s="298"/>
      <c r="J161" s="298"/>
      <c r="K161" s="298"/>
      <c r="L161" s="298"/>
      <c r="M161" s="298"/>
      <c r="N161" s="298"/>
      <c r="O161" s="298"/>
      <c r="P161" s="298"/>
      <c r="Q161" s="298"/>
      <c r="R161" s="298"/>
      <c r="T161" s="244">
        <v>9700</v>
      </c>
      <c r="U161" s="244">
        <f t="shared" si="41"/>
        <v>66.500592679259952</v>
      </c>
      <c r="V161" s="244">
        <f t="shared" si="42"/>
        <v>30.416655785289233</v>
      </c>
      <c r="W161" s="244">
        <f t="shared" si="43"/>
        <v>14.877738042101395</v>
      </c>
      <c r="X161" s="244">
        <f t="shared" si="33"/>
        <v>1913.7441549243883</v>
      </c>
      <c r="Y161" s="244">
        <f t="shared" si="34"/>
        <v>875.32599148696988</v>
      </c>
      <c r="Z161" s="244">
        <f t="shared" si="35"/>
        <v>428.14933024570763</v>
      </c>
      <c r="AA161" s="244">
        <f t="shared" si="44"/>
        <v>5418.6516001264627</v>
      </c>
      <c r="AB161" s="244">
        <f t="shared" si="45"/>
        <v>4844.7112324938144</v>
      </c>
      <c r="AC161" s="244">
        <f t="shared" si="46"/>
        <v>4391.9141643578014</v>
      </c>
      <c r="AD161" s="446">
        <f t="shared" si="36"/>
        <v>2877.7851111111108</v>
      </c>
      <c r="AE161" s="244">
        <f t="shared" si="47"/>
        <v>5755.5702222222226</v>
      </c>
      <c r="AF161" s="244">
        <f t="shared" si="37"/>
        <v>1157.5065453171703</v>
      </c>
      <c r="AG161" s="244">
        <f t="shared" si="38"/>
        <v>529.43104323808654</v>
      </c>
      <c r="AH161" s="244">
        <f t="shared" si="39"/>
        <v>258.96128845506507</v>
      </c>
      <c r="AI161" s="244">
        <f t="shared" si="48"/>
        <v>3277.4102420119739</v>
      </c>
      <c r="AJ161" s="244">
        <f t="shared" si="49"/>
        <v>2930.2688906212584</v>
      </c>
      <c r="AK161" s="244">
        <f t="shared" si="50"/>
        <v>2656.399696184154</v>
      </c>
      <c r="AL161" s="447">
        <f t="shared" si="40"/>
        <v>1740.5958333333331</v>
      </c>
      <c r="AM161" s="244">
        <f t="shared" si="51"/>
        <v>3481.1916666666675</v>
      </c>
      <c r="AN161" s="244"/>
    </row>
    <row r="162" spans="1:40" x14ac:dyDescent="0.2">
      <c r="A162" s="298"/>
      <c r="B162" s="298"/>
      <c r="C162" s="298"/>
      <c r="D162" s="298"/>
      <c r="E162" s="298"/>
      <c r="F162" s="298"/>
      <c r="G162" s="298"/>
      <c r="H162" s="298"/>
      <c r="I162" s="298"/>
      <c r="J162" s="298"/>
      <c r="K162" s="298"/>
      <c r="L162" s="298"/>
      <c r="M162" s="298"/>
      <c r="N162" s="298"/>
      <c r="O162" s="298"/>
      <c r="P162" s="298"/>
      <c r="Q162" s="298"/>
      <c r="R162" s="298"/>
      <c r="T162" s="244">
        <v>9800</v>
      </c>
      <c r="U162" s="244">
        <f t="shared" si="41"/>
        <v>66.221494054397368</v>
      </c>
      <c r="V162" s="244">
        <f t="shared" si="42"/>
        <v>30.045726887704056</v>
      </c>
      <c r="W162" s="244">
        <f t="shared" si="43"/>
        <v>14.588356249945031</v>
      </c>
      <c r="X162" s="244">
        <f t="shared" si="33"/>
        <v>1905.7122962527769</v>
      </c>
      <c r="Y162" s="244">
        <f t="shared" si="34"/>
        <v>864.65145489945508</v>
      </c>
      <c r="Z162" s="244">
        <f t="shared" si="35"/>
        <v>419.82154411676527</v>
      </c>
      <c r="AA162" s="244">
        <f t="shared" si="44"/>
        <v>5418.6516001264627</v>
      </c>
      <c r="AB162" s="244">
        <f t="shared" si="45"/>
        <v>4844.7112324938144</v>
      </c>
      <c r="AC162" s="244">
        <f t="shared" si="46"/>
        <v>4391.9141643578014</v>
      </c>
      <c r="AD162" s="446">
        <f t="shared" si="36"/>
        <v>2877.7851111111108</v>
      </c>
      <c r="AE162" s="244">
        <f t="shared" si="47"/>
        <v>5755.5702222222226</v>
      </c>
      <c r="AF162" s="244">
        <f t="shared" si="37"/>
        <v>1152.6485662819216</v>
      </c>
      <c r="AG162" s="244">
        <f t="shared" si="38"/>
        <v>522.97467030208975</v>
      </c>
      <c r="AH162" s="244">
        <f t="shared" si="39"/>
        <v>253.92432103836612</v>
      </c>
      <c r="AI162" s="244">
        <f t="shared" si="48"/>
        <v>3277.4102420119739</v>
      </c>
      <c r="AJ162" s="244">
        <f t="shared" si="49"/>
        <v>2930.2688906212584</v>
      </c>
      <c r="AK162" s="244">
        <f t="shared" si="50"/>
        <v>2656.399696184154</v>
      </c>
      <c r="AL162" s="447">
        <f t="shared" si="40"/>
        <v>1740.5958333333331</v>
      </c>
      <c r="AM162" s="244">
        <f t="shared" si="51"/>
        <v>3481.1916666666675</v>
      </c>
      <c r="AN162" s="244"/>
    </row>
    <row r="163" spans="1:40" x14ac:dyDescent="0.2">
      <c r="A163" s="298"/>
      <c r="B163" s="298"/>
      <c r="C163" s="298"/>
      <c r="D163" s="298"/>
      <c r="E163" s="298"/>
      <c r="F163" s="298"/>
      <c r="G163" s="298"/>
      <c r="H163" s="298"/>
      <c r="I163" s="298"/>
      <c r="J163" s="298"/>
      <c r="K163" s="298"/>
      <c r="L163" s="298"/>
      <c r="M163" s="298"/>
      <c r="N163" s="298"/>
      <c r="O163" s="298"/>
      <c r="P163" s="298"/>
      <c r="Q163" s="298"/>
      <c r="R163" s="298"/>
      <c r="T163" s="244">
        <v>9900</v>
      </c>
      <c r="U163" s="244">
        <f t="shared" si="41"/>
        <v>65.943566788153746</v>
      </c>
      <c r="V163" s="244">
        <f t="shared" si="42"/>
        <v>29.679321440955654</v>
      </c>
      <c r="W163" s="244">
        <f t="shared" si="43"/>
        <v>14.304603124014321</v>
      </c>
      <c r="X163" s="244">
        <f t="shared" si="33"/>
        <v>1897.7141467650997</v>
      </c>
      <c r="Y163" s="244">
        <f t="shared" si="34"/>
        <v>854.10709350662944</v>
      </c>
      <c r="Z163" s="244">
        <f t="shared" si="35"/>
        <v>411.65573890641895</v>
      </c>
      <c r="AA163" s="244">
        <f t="shared" si="44"/>
        <v>5418.6516001264627</v>
      </c>
      <c r="AB163" s="244">
        <f t="shared" si="45"/>
        <v>4844.7112324938144</v>
      </c>
      <c r="AC163" s="244">
        <f t="shared" si="46"/>
        <v>4391.9141643578014</v>
      </c>
      <c r="AD163" s="446">
        <f t="shared" si="36"/>
        <v>2877.7851111111108</v>
      </c>
      <c r="AE163" s="244">
        <f t="shared" si="47"/>
        <v>5755.5702222222226</v>
      </c>
      <c r="AF163" s="244">
        <f t="shared" si="37"/>
        <v>1147.8109758659878</v>
      </c>
      <c r="AG163" s="244">
        <f t="shared" si="38"/>
        <v>516.59703236288067</v>
      </c>
      <c r="AH163" s="244">
        <f t="shared" si="39"/>
        <v>248.98532595146307</v>
      </c>
      <c r="AI163" s="244">
        <f t="shared" si="48"/>
        <v>3277.4102420119739</v>
      </c>
      <c r="AJ163" s="244">
        <f t="shared" si="49"/>
        <v>2930.2688906212584</v>
      </c>
      <c r="AK163" s="244">
        <f t="shared" si="50"/>
        <v>2656.399696184154</v>
      </c>
      <c r="AL163" s="447">
        <f t="shared" si="40"/>
        <v>1740.5958333333331</v>
      </c>
      <c r="AM163" s="244">
        <f t="shared" si="51"/>
        <v>3481.1916666666675</v>
      </c>
      <c r="AN163" s="244"/>
    </row>
    <row r="164" spans="1:40" x14ac:dyDescent="0.2">
      <c r="A164" s="298"/>
      <c r="B164" s="298"/>
      <c r="C164" s="298"/>
      <c r="D164" s="298"/>
      <c r="E164" s="298"/>
      <c r="F164" s="298"/>
      <c r="G164" s="298"/>
      <c r="H164" s="298"/>
      <c r="I164" s="298"/>
      <c r="J164" s="298"/>
      <c r="K164" s="298"/>
      <c r="L164" s="298"/>
      <c r="M164" s="298"/>
      <c r="N164" s="298"/>
      <c r="O164" s="298"/>
      <c r="P164" s="298"/>
      <c r="Q164" s="298"/>
      <c r="R164" s="298"/>
      <c r="T164" s="244">
        <v>10000</v>
      </c>
      <c r="U164" s="244">
        <f t="shared" si="41"/>
        <v>65.666805964413783</v>
      </c>
      <c r="V164" s="244">
        <f t="shared" si="42"/>
        <v>29.317384281891172</v>
      </c>
      <c r="W164" s="244">
        <f t="shared" si="43"/>
        <v>14.026369183048381</v>
      </c>
      <c r="X164" s="244">
        <f t="shared" si="33"/>
        <v>1889.7495649861228</v>
      </c>
      <c r="Y164" s="244">
        <f t="shared" si="34"/>
        <v>843.69131983149316</v>
      </c>
      <c r="Z164" s="244">
        <f t="shared" si="35"/>
        <v>403.64876397924343</v>
      </c>
      <c r="AA164" s="244">
        <f t="shared" si="44"/>
        <v>5418.6516001264627</v>
      </c>
      <c r="AB164" s="244">
        <f t="shared" si="45"/>
        <v>4844.7112324938144</v>
      </c>
      <c r="AC164" s="244">
        <f t="shared" si="46"/>
        <v>4391.9141643578014</v>
      </c>
      <c r="AD164" s="446">
        <f t="shared" si="36"/>
        <v>2877.7851111111108</v>
      </c>
      <c r="AE164" s="244">
        <f t="shared" si="47"/>
        <v>5755.5702222222226</v>
      </c>
      <c r="AF164" s="244">
        <f t="shared" si="37"/>
        <v>1142.993688499671</v>
      </c>
      <c r="AG164" s="244">
        <f t="shared" si="38"/>
        <v>510.29716925291928</v>
      </c>
      <c r="AH164" s="244">
        <f t="shared" si="39"/>
        <v>244.14239756809079</v>
      </c>
      <c r="AI164" s="244">
        <f t="shared" si="48"/>
        <v>3277.4102420119739</v>
      </c>
      <c r="AJ164" s="244">
        <f t="shared" si="49"/>
        <v>2930.2688906212584</v>
      </c>
      <c r="AK164" s="244">
        <f t="shared" si="50"/>
        <v>2656.399696184154</v>
      </c>
      <c r="AL164" s="447">
        <f t="shared" si="40"/>
        <v>1740.5958333333331</v>
      </c>
      <c r="AM164" s="244">
        <f t="shared" si="51"/>
        <v>3481.1916666666675</v>
      </c>
      <c r="AN164" s="244"/>
    </row>
    <row r="165" spans="1:40" x14ac:dyDescent="0.2">
      <c r="A165" s="298"/>
      <c r="B165" s="298"/>
      <c r="C165" s="298"/>
      <c r="D165" s="298"/>
      <c r="E165" s="298"/>
      <c r="F165" s="298"/>
      <c r="G165" s="298"/>
      <c r="H165" s="298"/>
      <c r="I165" s="298"/>
      <c r="J165" s="298"/>
      <c r="K165" s="298"/>
      <c r="L165" s="298"/>
      <c r="M165" s="298"/>
      <c r="N165" s="298"/>
      <c r="O165" s="298"/>
      <c r="P165" s="298"/>
      <c r="Q165" s="298"/>
      <c r="R165" s="298"/>
      <c r="T165" s="244"/>
      <c r="U165" s="244"/>
      <c r="V165" s="244"/>
      <c r="W165" s="244"/>
      <c r="X165" s="244"/>
      <c r="Y165" s="244"/>
      <c r="Z165" s="244"/>
      <c r="AA165" s="244"/>
      <c r="AB165" s="244"/>
      <c r="AC165" s="244"/>
      <c r="AD165" s="244"/>
      <c r="AE165" s="244"/>
      <c r="AF165" s="244"/>
      <c r="AG165" s="244"/>
      <c r="AH165" s="244"/>
      <c r="AI165" s="244"/>
      <c r="AJ165" s="244"/>
      <c r="AK165" s="244"/>
      <c r="AL165" s="244"/>
      <c r="AM165" s="244"/>
      <c r="AN165" s="244"/>
    </row>
    <row r="166" spans="1:40" x14ac:dyDescent="0.2">
      <c r="A166" s="298"/>
      <c r="B166" s="298"/>
      <c r="C166" s="298"/>
      <c r="D166" s="298"/>
      <c r="E166" s="298"/>
      <c r="F166" s="298"/>
      <c r="G166" s="298"/>
      <c r="H166" s="298"/>
      <c r="I166" s="298"/>
      <c r="J166" s="298"/>
      <c r="K166" s="298"/>
      <c r="L166" s="298"/>
      <c r="M166" s="298"/>
      <c r="N166" s="298"/>
      <c r="O166" s="298"/>
      <c r="P166" s="298"/>
      <c r="Q166" s="298"/>
      <c r="R166" s="298"/>
      <c r="T166" s="244"/>
      <c r="U166" s="244"/>
      <c r="V166" s="244"/>
      <c r="W166" s="244"/>
      <c r="X166" s="244"/>
      <c r="Y166" s="244"/>
      <c r="Z166" s="244"/>
      <c r="AA166" s="244"/>
      <c r="AB166" s="244"/>
      <c r="AC166" s="244"/>
      <c r="AD166" s="244"/>
      <c r="AE166" s="244"/>
      <c r="AF166" s="244"/>
      <c r="AG166" s="244"/>
      <c r="AH166" s="244"/>
      <c r="AI166" s="244"/>
      <c r="AJ166" s="244"/>
      <c r="AK166" s="244"/>
      <c r="AL166" s="244"/>
      <c r="AM166" s="244"/>
      <c r="AN166" s="244"/>
    </row>
    <row r="167" spans="1:40" x14ac:dyDescent="0.2">
      <c r="A167" s="298"/>
      <c r="B167" s="298"/>
      <c r="C167" s="298"/>
      <c r="D167" s="298"/>
      <c r="E167" s="298"/>
      <c r="F167" s="298"/>
      <c r="G167" s="298"/>
      <c r="H167" s="298"/>
      <c r="I167" s="298"/>
      <c r="J167" s="298"/>
      <c r="K167" s="298"/>
      <c r="L167" s="298"/>
      <c r="M167" s="298"/>
      <c r="N167" s="298"/>
      <c r="O167" s="298"/>
      <c r="P167" s="298"/>
      <c r="Q167" s="298"/>
      <c r="R167" s="298"/>
      <c r="T167" s="244"/>
      <c r="U167" s="244"/>
      <c r="V167" s="244"/>
      <c r="W167" s="244"/>
      <c r="X167" s="244"/>
      <c r="Y167" s="244"/>
      <c r="Z167" s="244"/>
      <c r="AA167" s="244"/>
      <c r="AB167" s="244"/>
      <c r="AC167" s="244"/>
      <c r="AD167" s="244"/>
      <c r="AE167" s="244"/>
      <c r="AF167" s="244"/>
      <c r="AG167" s="244"/>
      <c r="AH167" s="244"/>
      <c r="AI167" s="244"/>
      <c r="AJ167" s="244"/>
      <c r="AK167" s="244"/>
      <c r="AL167" s="244"/>
      <c r="AM167" s="244"/>
      <c r="AN167" s="244"/>
    </row>
    <row r="168" spans="1:40" x14ac:dyDescent="0.2">
      <c r="A168" s="298"/>
      <c r="B168" s="298"/>
      <c r="C168" s="298"/>
      <c r="D168" s="298"/>
      <c r="E168" s="298"/>
      <c r="F168" s="298"/>
      <c r="G168" s="298"/>
      <c r="H168" s="298"/>
      <c r="I168" s="298"/>
      <c r="J168" s="298"/>
      <c r="K168" s="298"/>
      <c r="L168" s="298"/>
      <c r="M168" s="298"/>
      <c r="N168" s="298"/>
      <c r="O168" s="298"/>
      <c r="P168" s="298"/>
      <c r="Q168" s="298"/>
      <c r="R168" s="298"/>
      <c r="T168" s="244"/>
      <c r="U168" s="244"/>
      <c r="V168" s="244"/>
      <c r="W168" s="244"/>
      <c r="X168" s="244"/>
      <c r="Y168" s="244"/>
      <c r="Z168" s="244"/>
      <c r="AA168" s="244"/>
      <c r="AB168" s="244"/>
      <c r="AC168" s="244"/>
      <c r="AD168" s="244"/>
      <c r="AE168" s="244"/>
      <c r="AF168" s="244"/>
      <c r="AG168" s="244"/>
      <c r="AH168" s="244"/>
      <c r="AI168" s="244"/>
      <c r="AJ168" s="244"/>
      <c r="AK168" s="244"/>
      <c r="AL168" s="244"/>
      <c r="AM168" s="244"/>
      <c r="AN168" s="244"/>
    </row>
    <row r="169" spans="1:40" x14ac:dyDescent="0.2">
      <c r="A169" s="298"/>
      <c r="B169" s="298"/>
      <c r="C169" s="298"/>
      <c r="D169" s="298"/>
      <c r="E169" s="298"/>
      <c r="F169" s="298"/>
      <c r="G169" s="298"/>
      <c r="H169" s="298"/>
      <c r="I169" s="298"/>
      <c r="J169" s="298"/>
      <c r="K169" s="298"/>
      <c r="L169" s="298"/>
      <c r="M169" s="298"/>
      <c r="N169" s="298"/>
      <c r="O169" s="298"/>
      <c r="P169" s="298"/>
      <c r="Q169" s="298"/>
      <c r="R169" s="298"/>
      <c r="T169" s="244"/>
      <c r="U169" s="244"/>
      <c r="V169" s="244"/>
      <c r="W169" s="244"/>
      <c r="X169" s="244"/>
      <c r="Y169" s="244"/>
      <c r="Z169" s="244"/>
      <c r="AA169" s="244"/>
      <c r="AB169" s="244"/>
      <c r="AC169" s="244"/>
      <c r="AD169" s="244"/>
      <c r="AE169" s="244"/>
      <c r="AF169" s="244"/>
      <c r="AG169" s="244"/>
      <c r="AH169" s="244"/>
      <c r="AI169" s="244"/>
      <c r="AJ169" s="244"/>
      <c r="AK169" s="244"/>
      <c r="AL169" s="244"/>
      <c r="AM169" s="244"/>
      <c r="AN169" s="244"/>
    </row>
    <row r="170" spans="1:40" x14ac:dyDescent="0.2">
      <c r="A170" s="298"/>
      <c r="B170" s="298"/>
      <c r="C170" s="298"/>
      <c r="D170" s="298"/>
      <c r="E170" s="298"/>
      <c r="F170" s="298"/>
      <c r="G170" s="298"/>
      <c r="H170" s="298"/>
      <c r="I170" s="298"/>
      <c r="J170" s="298"/>
      <c r="K170" s="298"/>
      <c r="L170" s="298"/>
      <c r="M170" s="298"/>
      <c r="N170" s="298"/>
      <c r="O170" s="298"/>
      <c r="P170" s="298"/>
      <c r="Q170" s="298"/>
      <c r="R170" s="298"/>
      <c r="T170" s="244"/>
      <c r="U170" s="244"/>
      <c r="V170" s="244"/>
      <c r="W170" s="244"/>
      <c r="X170" s="244"/>
      <c r="Y170" s="244"/>
      <c r="Z170" s="244"/>
      <c r="AA170" s="244"/>
      <c r="AB170" s="244"/>
      <c r="AC170" s="244"/>
      <c r="AD170" s="244"/>
      <c r="AE170" s="244"/>
      <c r="AF170" s="244"/>
      <c r="AG170" s="244"/>
      <c r="AH170" s="244"/>
      <c r="AI170" s="244"/>
      <c r="AJ170" s="244"/>
      <c r="AK170" s="244"/>
      <c r="AL170" s="244"/>
      <c r="AM170" s="244"/>
      <c r="AN170" s="244"/>
    </row>
    <row r="171" spans="1:40" x14ac:dyDescent="0.2">
      <c r="A171" s="298"/>
      <c r="B171" s="298"/>
      <c r="C171" s="298"/>
      <c r="D171" s="298"/>
      <c r="E171" s="298"/>
      <c r="F171" s="298"/>
      <c r="G171" s="298"/>
      <c r="H171" s="298"/>
      <c r="I171" s="298"/>
      <c r="J171" s="298"/>
      <c r="K171" s="298"/>
      <c r="L171" s="298"/>
      <c r="M171" s="298"/>
      <c r="N171" s="298"/>
      <c r="O171" s="298"/>
      <c r="P171" s="298"/>
      <c r="Q171" s="298"/>
      <c r="R171" s="298"/>
      <c r="T171" s="244"/>
      <c r="U171" s="244"/>
      <c r="V171" s="244"/>
      <c r="W171" s="244"/>
      <c r="X171" s="244"/>
      <c r="Y171" s="244"/>
      <c r="Z171" s="244"/>
      <c r="AA171" s="244"/>
      <c r="AB171" s="244"/>
      <c r="AC171" s="244"/>
      <c r="AD171" s="244"/>
      <c r="AE171" s="244"/>
      <c r="AF171" s="244"/>
      <c r="AG171" s="244"/>
      <c r="AH171" s="244"/>
      <c r="AI171" s="244"/>
      <c r="AJ171" s="244"/>
      <c r="AK171" s="244"/>
      <c r="AL171" s="244"/>
      <c r="AM171" s="244"/>
      <c r="AN171" s="244"/>
    </row>
    <row r="172" spans="1:40" x14ac:dyDescent="0.2">
      <c r="A172" s="298"/>
      <c r="B172" s="298"/>
      <c r="C172" s="298"/>
      <c r="D172" s="298"/>
      <c r="E172" s="298"/>
      <c r="F172" s="298"/>
      <c r="G172" s="298"/>
      <c r="H172" s="298"/>
      <c r="I172" s="298"/>
      <c r="J172" s="298"/>
      <c r="K172" s="298"/>
      <c r="L172" s="298"/>
      <c r="M172" s="298"/>
      <c r="N172" s="298"/>
      <c r="O172" s="298"/>
      <c r="P172" s="298"/>
      <c r="Q172" s="298"/>
      <c r="R172" s="298"/>
      <c r="T172" s="244"/>
      <c r="U172" s="244"/>
      <c r="V172" s="244"/>
      <c r="W172" s="244"/>
      <c r="X172" s="244"/>
      <c r="Y172" s="244"/>
      <c r="Z172" s="244"/>
      <c r="AA172" s="244"/>
      <c r="AB172" s="244"/>
      <c r="AC172" s="244"/>
      <c r="AD172" s="244"/>
      <c r="AE172" s="244"/>
      <c r="AF172" s="244"/>
      <c r="AG172" s="244"/>
      <c r="AH172" s="244"/>
      <c r="AI172" s="244"/>
      <c r="AJ172" s="244"/>
      <c r="AK172" s="244"/>
      <c r="AL172" s="244"/>
      <c r="AM172" s="244"/>
      <c r="AN172" s="244"/>
    </row>
    <row r="173" spans="1:40" x14ac:dyDescent="0.2">
      <c r="A173" s="298"/>
      <c r="B173" s="298"/>
      <c r="C173" s="298"/>
      <c r="D173" s="298"/>
      <c r="E173" s="298"/>
      <c r="F173" s="298"/>
      <c r="G173" s="298"/>
      <c r="H173" s="298"/>
      <c r="I173" s="298"/>
      <c r="J173" s="298"/>
      <c r="K173" s="298"/>
      <c r="L173" s="298"/>
      <c r="M173" s="298"/>
      <c r="N173" s="298"/>
      <c r="O173" s="298"/>
      <c r="P173" s="298"/>
      <c r="Q173" s="298"/>
      <c r="R173" s="298"/>
      <c r="T173" s="244"/>
      <c r="U173" s="244"/>
      <c r="V173" s="244"/>
      <c r="W173" s="244"/>
      <c r="X173" s="244"/>
      <c r="Y173" s="244"/>
      <c r="Z173" s="244"/>
      <c r="AA173" s="244"/>
      <c r="AB173" s="244"/>
      <c r="AC173" s="244"/>
      <c r="AD173" s="244"/>
      <c r="AE173" s="244"/>
      <c r="AF173" s="244"/>
      <c r="AG173" s="244"/>
      <c r="AH173" s="244"/>
      <c r="AI173" s="244"/>
      <c r="AJ173" s="244"/>
      <c r="AK173" s="244"/>
      <c r="AL173" s="244"/>
      <c r="AM173" s="244"/>
      <c r="AN173" s="244"/>
    </row>
    <row r="174" spans="1:40" x14ac:dyDescent="0.2">
      <c r="A174" s="298"/>
      <c r="B174" s="298"/>
      <c r="C174" s="298"/>
      <c r="D174" s="298"/>
      <c r="E174" s="298"/>
      <c r="F174" s="298"/>
      <c r="G174" s="298"/>
      <c r="H174" s="298"/>
      <c r="I174" s="298"/>
      <c r="J174" s="298"/>
      <c r="K174" s="298"/>
      <c r="L174" s="298"/>
      <c r="M174" s="298"/>
      <c r="N174" s="298"/>
      <c r="O174" s="298"/>
      <c r="P174" s="298"/>
      <c r="Q174" s="298"/>
      <c r="R174" s="298"/>
      <c r="T174" s="244"/>
      <c r="U174" s="244"/>
      <c r="V174" s="244"/>
      <c r="W174" s="244"/>
      <c r="X174" s="244"/>
      <c r="Y174" s="244"/>
      <c r="Z174" s="244"/>
      <c r="AA174" s="244"/>
      <c r="AB174" s="244"/>
      <c r="AC174" s="244"/>
      <c r="AD174" s="244"/>
      <c r="AE174" s="244"/>
      <c r="AF174" s="244"/>
      <c r="AG174" s="244"/>
      <c r="AH174" s="244"/>
      <c r="AI174" s="244"/>
      <c r="AJ174" s="244"/>
      <c r="AK174" s="244"/>
      <c r="AL174" s="244"/>
      <c r="AM174" s="244"/>
      <c r="AN174" s="244"/>
    </row>
    <row r="175" spans="1:40" x14ac:dyDescent="0.2">
      <c r="A175" s="298"/>
      <c r="B175" s="298"/>
      <c r="C175" s="298"/>
      <c r="D175" s="298"/>
      <c r="E175" s="298"/>
      <c r="F175" s="298"/>
      <c r="G175" s="298"/>
      <c r="H175" s="298"/>
      <c r="I175" s="298"/>
      <c r="J175" s="298"/>
      <c r="K175" s="298"/>
      <c r="L175" s="298"/>
      <c r="M175" s="298"/>
      <c r="N175" s="298"/>
      <c r="O175" s="298"/>
      <c r="P175" s="298"/>
      <c r="Q175" s="298"/>
      <c r="R175" s="298"/>
      <c r="T175" s="244"/>
      <c r="U175" s="244"/>
      <c r="V175" s="244"/>
      <c r="W175" s="244"/>
      <c r="X175" s="244"/>
      <c r="Y175" s="244"/>
      <c r="Z175" s="244"/>
      <c r="AA175" s="244"/>
      <c r="AB175" s="244"/>
      <c r="AC175" s="244"/>
      <c r="AD175" s="244"/>
      <c r="AE175" s="244"/>
      <c r="AF175" s="244"/>
      <c r="AG175" s="244"/>
      <c r="AH175" s="244"/>
      <c r="AI175" s="244"/>
      <c r="AJ175" s="244"/>
      <c r="AK175" s="244"/>
      <c r="AL175" s="244"/>
      <c r="AM175" s="244"/>
      <c r="AN175" s="244"/>
    </row>
    <row r="176" spans="1:40" x14ac:dyDescent="0.2">
      <c r="A176" s="298"/>
      <c r="B176" s="298"/>
      <c r="C176" s="298"/>
      <c r="D176" s="298"/>
      <c r="E176" s="298"/>
      <c r="F176" s="298"/>
      <c r="G176" s="298"/>
      <c r="H176" s="298"/>
      <c r="I176" s="298"/>
      <c r="J176" s="298"/>
      <c r="K176" s="298"/>
      <c r="L176" s="298"/>
      <c r="M176" s="298"/>
      <c r="N176" s="298"/>
      <c r="O176" s="298"/>
      <c r="P176" s="298"/>
      <c r="Q176" s="298"/>
      <c r="R176" s="298"/>
      <c r="T176" s="244"/>
      <c r="U176" s="244"/>
      <c r="V176" s="244"/>
      <c r="W176" s="244"/>
      <c r="X176" s="244"/>
      <c r="Y176" s="244"/>
      <c r="Z176" s="244"/>
      <c r="AA176" s="244"/>
      <c r="AB176" s="244"/>
      <c r="AC176" s="244"/>
      <c r="AD176" s="244"/>
      <c r="AE176" s="244"/>
      <c r="AF176" s="244"/>
      <c r="AG176" s="244"/>
      <c r="AH176" s="244"/>
      <c r="AI176" s="244"/>
      <c r="AJ176" s="244"/>
      <c r="AK176" s="244"/>
      <c r="AL176" s="244"/>
      <c r="AM176" s="244"/>
      <c r="AN176" s="244"/>
    </row>
    <row r="177" spans="1:40" x14ac:dyDescent="0.2">
      <c r="A177" s="298"/>
      <c r="B177" s="298"/>
      <c r="C177" s="298"/>
      <c r="D177" s="298"/>
      <c r="E177" s="298"/>
      <c r="F177" s="298"/>
      <c r="G177" s="298"/>
      <c r="H177" s="298"/>
      <c r="I177" s="298"/>
      <c r="J177" s="298"/>
      <c r="K177" s="298"/>
      <c r="L177" s="298"/>
      <c r="M177" s="298"/>
      <c r="N177" s="298"/>
      <c r="O177" s="298"/>
      <c r="P177" s="298"/>
      <c r="Q177" s="298"/>
      <c r="R177" s="298"/>
      <c r="T177" s="244"/>
      <c r="U177" s="244"/>
      <c r="V177" s="244"/>
      <c r="W177" s="244"/>
      <c r="X177" s="244"/>
      <c r="Y177" s="244"/>
      <c r="Z177" s="244"/>
      <c r="AA177" s="244"/>
      <c r="AB177" s="244"/>
      <c r="AC177" s="244"/>
      <c r="AD177" s="244"/>
      <c r="AE177" s="244"/>
      <c r="AF177" s="244"/>
      <c r="AG177" s="244"/>
      <c r="AH177" s="244"/>
      <c r="AI177" s="244"/>
      <c r="AJ177" s="244"/>
      <c r="AK177" s="244"/>
      <c r="AL177" s="244"/>
      <c r="AM177" s="244"/>
      <c r="AN177" s="244"/>
    </row>
    <row r="178" spans="1:40" x14ac:dyDescent="0.2">
      <c r="A178" s="298"/>
      <c r="B178" s="298"/>
      <c r="C178" s="298"/>
      <c r="D178" s="298"/>
      <c r="E178" s="298"/>
      <c r="F178" s="298"/>
      <c r="G178" s="298"/>
      <c r="H178" s="298"/>
      <c r="I178" s="298"/>
      <c r="J178" s="298"/>
      <c r="K178" s="298"/>
      <c r="L178" s="298"/>
      <c r="M178" s="298"/>
      <c r="N178" s="298"/>
      <c r="O178" s="298"/>
      <c r="P178" s="298"/>
      <c r="Q178" s="298"/>
      <c r="R178" s="298"/>
      <c r="T178" s="244"/>
      <c r="U178" s="244"/>
      <c r="V178" s="244"/>
      <c r="W178" s="244"/>
      <c r="X178" s="244"/>
      <c r="Y178" s="244"/>
      <c r="Z178" s="244"/>
      <c r="AA178" s="244"/>
      <c r="AB178" s="244"/>
      <c r="AC178" s="244"/>
      <c r="AD178" s="244"/>
      <c r="AE178" s="244"/>
      <c r="AF178" s="244"/>
      <c r="AG178" s="244"/>
      <c r="AH178" s="244"/>
      <c r="AI178" s="244"/>
      <c r="AJ178" s="244"/>
      <c r="AK178" s="244"/>
      <c r="AL178" s="244"/>
      <c r="AM178" s="244"/>
      <c r="AN178" s="244"/>
    </row>
    <row r="179" spans="1:40" x14ac:dyDescent="0.2">
      <c r="A179" s="298"/>
      <c r="B179" s="298"/>
      <c r="C179" s="298"/>
      <c r="D179" s="298"/>
      <c r="E179" s="298"/>
      <c r="F179" s="298"/>
      <c r="G179" s="298"/>
      <c r="H179" s="298"/>
      <c r="I179" s="298"/>
      <c r="J179" s="298"/>
      <c r="K179" s="298"/>
      <c r="L179" s="298"/>
      <c r="M179" s="298"/>
      <c r="N179" s="298"/>
      <c r="O179" s="298"/>
      <c r="P179" s="298"/>
      <c r="Q179" s="298"/>
      <c r="R179" s="298"/>
      <c r="T179" s="244"/>
      <c r="U179" s="244"/>
      <c r="V179" s="244"/>
      <c r="W179" s="244"/>
      <c r="X179" s="244"/>
      <c r="Y179" s="244"/>
      <c r="Z179" s="244"/>
      <c r="AA179" s="244"/>
      <c r="AB179" s="244"/>
      <c r="AC179" s="244"/>
      <c r="AD179" s="244"/>
      <c r="AE179" s="244"/>
      <c r="AF179" s="244"/>
      <c r="AG179" s="244"/>
      <c r="AH179" s="244"/>
      <c r="AI179" s="244"/>
      <c r="AJ179" s="244"/>
      <c r="AK179" s="244"/>
      <c r="AL179" s="244"/>
      <c r="AM179" s="244"/>
      <c r="AN179" s="244"/>
    </row>
    <row r="180" spans="1:40" x14ac:dyDescent="0.2">
      <c r="A180" s="298"/>
      <c r="B180" s="298"/>
      <c r="C180" s="298"/>
      <c r="D180" s="298"/>
      <c r="E180" s="298"/>
      <c r="F180" s="298"/>
      <c r="G180" s="298"/>
      <c r="H180" s="298"/>
      <c r="I180" s="298"/>
      <c r="J180" s="298"/>
      <c r="K180" s="298"/>
      <c r="L180" s="298"/>
      <c r="M180" s="298"/>
      <c r="N180" s="298"/>
      <c r="O180" s="298"/>
      <c r="P180" s="298"/>
      <c r="Q180" s="298"/>
      <c r="R180" s="298"/>
      <c r="T180" s="244"/>
      <c r="U180" s="244"/>
      <c r="V180" s="244"/>
      <c r="W180" s="244"/>
      <c r="X180" s="244"/>
      <c r="Y180" s="244"/>
      <c r="Z180" s="244"/>
      <c r="AA180" s="244"/>
      <c r="AB180" s="244"/>
      <c r="AC180" s="244"/>
      <c r="AD180" s="244"/>
      <c r="AE180" s="244"/>
      <c r="AF180" s="244"/>
      <c r="AG180" s="244"/>
      <c r="AH180" s="244"/>
      <c r="AI180" s="244"/>
      <c r="AJ180" s="244"/>
      <c r="AK180" s="244"/>
      <c r="AL180" s="244"/>
      <c r="AM180" s="244"/>
      <c r="AN180" s="244"/>
    </row>
    <row r="181" spans="1:40" x14ac:dyDescent="0.2">
      <c r="A181" s="298"/>
      <c r="B181" s="298"/>
      <c r="C181" s="298"/>
      <c r="D181" s="298"/>
      <c r="E181" s="298"/>
      <c r="F181" s="298"/>
      <c r="G181" s="298"/>
      <c r="H181" s="298"/>
      <c r="I181" s="298"/>
      <c r="J181" s="298"/>
      <c r="K181" s="298"/>
      <c r="L181" s="298"/>
      <c r="M181" s="298"/>
      <c r="N181" s="298"/>
      <c r="O181" s="298"/>
      <c r="P181" s="298"/>
      <c r="Q181" s="298"/>
      <c r="R181" s="298"/>
      <c r="T181" s="244"/>
      <c r="U181" s="244"/>
      <c r="V181" s="244"/>
      <c r="W181" s="244"/>
      <c r="X181" s="244"/>
      <c r="Y181" s="244"/>
      <c r="Z181" s="244"/>
      <c r="AA181" s="244"/>
      <c r="AB181" s="244"/>
      <c r="AC181" s="244"/>
      <c r="AD181" s="244"/>
      <c r="AE181" s="244"/>
      <c r="AF181" s="244"/>
      <c r="AG181" s="244"/>
      <c r="AH181" s="244"/>
      <c r="AI181" s="244"/>
      <c r="AJ181" s="244"/>
      <c r="AK181" s="244"/>
      <c r="AL181" s="244"/>
      <c r="AM181" s="244"/>
      <c r="AN181" s="244"/>
    </row>
    <row r="182" spans="1:40" x14ac:dyDescent="0.2">
      <c r="A182" s="298"/>
      <c r="B182" s="298"/>
      <c r="C182" s="298"/>
      <c r="D182" s="298"/>
      <c r="E182" s="298"/>
      <c r="F182" s="298"/>
      <c r="G182" s="298"/>
      <c r="H182" s="298"/>
      <c r="I182" s="298"/>
      <c r="J182" s="298"/>
      <c r="K182" s="298"/>
      <c r="L182" s="298"/>
      <c r="M182" s="298"/>
      <c r="N182" s="298"/>
      <c r="O182" s="298"/>
      <c r="P182" s="298"/>
      <c r="Q182" s="298"/>
      <c r="R182" s="298"/>
      <c r="T182" s="244"/>
      <c r="U182" s="244"/>
      <c r="V182" s="244"/>
      <c r="W182" s="244"/>
      <c r="X182" s="244"/>
      <c r="Y182" s="244"/>
      <c r="Z182" s="244"/>
      <c r="AA182" s="244"/>
      <c r="AB182" s="244"/>
      <c r="AC182" s="244"/>
      <c r="AD182" s="244"/>
      <c r="AE182" s="244"/>
      <c r="AF182" s="244"/>
      <c r="AG182" s="244"/>
      <c r="AH182" s="244"/>
      <c r="AI182" s="244"/>
      <c r="AJ182" s="244"/>
      <c r="AK182" s="244"/>
      <c r="AL182" s="244"/>
      <c r="AM182" s="244"/>
      <c r="AN182" s="244"/>
    </row>
    <row r="183" spans="1:40" x14ac:dyDescent="0.2">
      <c r="A183" s="298"/>
      <c r="B183" s="298"/>
      <c r="C183" s="298"/>
      <c r="D183" s="298"/>
      <c r="E183" s="298"/>
      <c r="F183" s="298"/>
      <c r="G183" s="298"/>
      <c r="H183" s="298"/>
      <c r="I183" s="298"/>
      <c r="J183" s="298"/>
      <c r="K183" s="298"/>
      <c r="L183" s="298"/>
      <c r="M183" s="298"/>
      <c r="N183" s="298"/>
      <c r="O183" s="298"/>
      <c r="P183" s="298"/>
      <c r="Q183" s="298"/>
      <c r="R183" s="298"/>
      <c r="T183" s="244"/>
      <c r="U183" s="244"/>
      <c r="V183" s="244"/>
      <c r="W183" s="244"/>
      <c r="X183" s="244"/>
      <c r="Y183" s="244"/>
      <c r="Z183" s="244"/>
      <c r="AA183" s="244"/>
      <c r="AB183" s="244"/>
      <c r="AC183" s="244"/>
      <c r="AD183" s="244"/>
      <c r="AE183" s="244"/>
      <c r="AF183" s="244"/>
      <c r="AG183" s="244"/>
      <c r="AH183" s="244"/>
      <c r="AI183" s="244"/>
      <c r="AJ183" s="244"/>
      <c r="AK183" s="244"/>
      <c r="AL183" s="244"/>
      <c r="AM183" s="244"/>
      <c r="AN183" s="244"/>
    </row>
    <row r="184" spans="1:40" x14ac:dyDescent="0.2">
      <c r="A184" s="298"/>
      <c r="B184" s="298"/>
      <c r="C184" s="298"/>
      <c r="D184" s="298"/>
      <c r="E184" s="298"/>
      <c r="F184" s="298"/>
      <c r="G184" s="298"/>
      <c r="H184" s="298"/>
      <c r="I184" s="298"/>
      <c r="J184" s="298"/>
      <c r="K184" s="298"/>
      <c r="L184" s="298"/>
      <c r="M184" s="298"/>
      <c r="N184" s="298"/>
      <c r="O184" s="298"/>
      <c r="P184" s="298"/>
      <c r="Q184" s="298"/>
      <c r="R184" s="298"/>
      <c r="T184" s="244"/>
      <c r="U184" s="244"/>
      <c r="V184" s="244"/>
      <c r="W184" s="244"/>
      <c r="X184" s="244"/>
      <c r="Y184" s="244"/>
      <c r="Z184" s="244"/>
      <c r="AA184" s="244"/>
      <c r="AB184" s="244"/>
      <c r="AC184" s="244"/>
      <c r="AD184" s="244"/>
      <c r="AE184" s="244"/>
      <c r="AF184" s="244"/>
      <c r="AG184" s="244"/>
      <c r="AH184" s="244"/>
      <c r="AI184" s="244"/>
      <c r="AJ184" s="244"/>
      <c r="AK184" s="244"/>
      <c r="AL184" s="244"/>
      <c r="AM184" s="244"/>
      <c r="AN184" s="244"/>
    </row>
    <row r="185" spans="1:40" x14ac:dyDescent="0.2">
      <c r="A185" s="298"/>
      <c r="B185" s="298"/>
      <c r="C185" s="298"/>
      <c r="D185" s="298"/>
      <c r="E185" s="298"/>
      <c r="F185" s="298"/>
      <c r="G185" s="298"/>
      <c r="H185" s="298"/>
      <c r="I185" s="298"/>
      <c r="J185" s="298"/>
      <c r="K185" s="298"/>
      <c r="L185" s="298"/>
      <c r="M185" s="298"/>
      <c r="N185" s="298"/>
      <c r="O185" s="298"/>
      <c r="P185" s="298"/>
      <c r="Q185" s="298"/>
      <c r="R185" s="298"/>
      <c r="T185" s="244"/>
      <c r="U185" s="244"/>
      <c r="V185" s="244"/>
      <c r="W185" s="244"/>
      <c r="X185" s="244"/>
      <c r="Y185" s="244"/>
      <c r="Z185" s="244"/>
      <c r="AA185" s="244"/>
      <c r="AB185" s="244"/>
      <c r="AC185" s="244"/>
      <c r="AD185" s="244"/>
      <c r="AE185" s="244"/>
      <c r="AF185" s="244"/>
      <c r="AG185" s="244"/>
      <c r="AH185" s="244"/>
      <c r="AI185" s="244"/>
      <c r="AJ185" s="244"/>
      <c r="AK185" s="244"/>
      <c r="AL185" s="244"/>
      <c r="AM185" s="244"/>
      <c r="AN185" s="244"/>
    </row>
    <row r="186" spans="1:40" x14ac:dyDescent="0.2">
      <c r="A186" s="298"/>
      <c r="B186" s="298"/>
      <c r="C186" s="298"/>
      <c r="D186" s="298"/>
      <c r="E186" s="298"/>
      <c r="F186" s="298"/>
      <c r="G186" s="298"/>
      <c r="H186" s="298"/>
      <c r="I186" s="298"/>
      <c r="J186" s="298"/>
      <c r="K186" s="298"/>
      <c r="L186" s="298"/>
      <c r="M186" s="298"/>
      <c r="N186" s="298"/>
      <c r="O186" s="298"/>
      <c r="P186" s="298"/>
      <c r="Q186" s="298"/>
      <c r="R186" s="298"/>
      <c r="T186" s="244"/>
      <c r="U186" s="244"/>
      <c r="V186" s="244"/>
      <c r="W186" s="244"/>
      <c r="X186" s="244"/>
      <c r="Y186" s="244"/>
      <c r="Z186" s="244"/>
      <c r="AA186" s="244"/>
      <c r="AB186" s="244"/>
      <c r="AC186" s="244"/>
      <c r="AD186" s="244"/>
      <c r="AE186" s="244"/>
      <c r="AF186" s="244"/>
      <c r="AG186" s="244"/>
      <c r="AH186" s="244"/>
      <c r="AI186" s="244"/>
      <c r="AJ186" s="244"/>
      <c r="AK186" s="244"/>
      <c r="AL186" s="244"/>
      <c r="AM186" s="244"/>
      <c r="AN186" s="244"/>
    </row>
    <row r="187" spans="1:40" x14ac:dyDescent="0.2">
      <c r="A187" s="298"/>
      <c r="B187" s="298"/>
      <c r="C187" s="298"/>
      <c r="D187" s="298"/>
      <c r="E187" s="298"/>
      <c r="F187" s="298"/>
      <c r="G187" s="298"/>
      <c r="H187" s="298"/>
      <c r="I187" s="298"/>
      <c r="J187" s="298"/>
      <c r="K187" s="298"/>
      <c r="L187" s="298"/>
      <c r="M187" s="298"/>
      <c r="N187" s="298"/>
      <c r="O187" s="298"/>
      <c r="P187" s="298"/>
      <c r="Q187" s="298"/>
      <c r="R187" s="298"/>
      <c r="T187" s="244"/>
      <c r="U187" s="244"/>
      <c r="V187" s="244"/>
      <c r="W187" s="244"/>
      <c r="X187" s="244"/>
      <c r="Y187" s="244"/>
      <c r="Z187" s="244"/>
      <c r="AA187" s="244"/>
      <c r="AB187" s="244"/>
      <c r="AC187" s="244"/>
      <c r="AD187" s="244"/>
      <c r="AE187" s="244"/>
      <c r="AF187" s="244"/>
      <c r="AG187" s="244"/>
      <c r="AH187" s="244"/>
      <c r="AI187" s="244"/>
      <c r="AJ187" s="244"/>
      <c r="AK187" s="244"/>
      <c r="AL187" s="244"/>
      <c r="AM187" s="244"/>
      <c r="AN187" s="244"/>
    </row>
    <row r="188" spans="1:40" x14ac:dyDescent="0.2">
      <c r="A188" s="298"/>
      <c r="B188" s="298"/>
      <c r="C188" s="298"/>
      <c r="D188" s="298"/>
      <c r="E188" s="298"/>
      <c r="F188" s="298"/>
      <c r="G188" s="298"/>
      <c r="H188" s="298"/>
      <c r="I188" s="298"/>
      <c r="J188" s="298"/>
      <c r="K188" s="298"/>
      <c r="L188" s="298"/>
      <c r="M188" s="298"/>
      <c r="N188" s="298"/>
      <c r="O188" s="298"/>
      <c r="P188" s="298"/>
      <c r="Q188" s="298"/>
      <c r="R188" s="298"/>
      <c r="T188" s="244"/>
      <c r="U188" s="244"/>
      <c r="V188" s="244"/>
      <c r="W188" s="244"/>
      <c r="X188" s="244"/>
      <c r="Y188" s="244"/>
      <c r="Z188" s="244"/>
      <c r="AA188" s="244"/>
      <c r="AB188" s="244"/>
      <c r="AC188" s="244"/>
      <c r="AD188" s="244"/>
      <c r="AE188" s="244"/>
      <c r="AF188" s="244"/>
      <c r="AG188" s="244"/>
      <c r="AH188" s="244"/>
      <c r="AI188" s="244"/>
      <c r="AJ188" s="244"/>
      <c r="AK188" s="244"/>
      <c r="AL188" s="244"/>
      <c r="AM188" s="244"/>
      <c r="AN188" s="244"/>
    </row>
    <row r="189" spans="1:40" x14ac:dyDescent="0.2">
      <c r="A189" s="298"/>
      <c r="B189" s="298"/>
      <c r="C189" s="298"/>
      <c r="D189" s="298"/>
      <c r="E189" s="298"/>
      <c r="F189" s="298"/>
      <c r="G189" s="298"/>
      <c r="H189" s="298"/>
      <c r="I189" s="298"/>
      <c r="J189" s="298"/>
      <c r="K189" s="298"/>
      <c r="L189" s="298"/>
      <c r="M189" s="298"/>
      <c r="N189" s="298"/>
      <c r="O189" s="298"/>
      <c r="P189" s="298"/>
      <c r="Q189" s="298"/>
      <c r="R189" s="298"/>
      <c r="T189" s="244"/>
      <c r="U189" s="244"/>
      <c r="V189" s="244"/>
      <c r="W189" s="244"/>
      <c r="X189" s="244"/>
      <c r="Y189" s="244"/>
      <c r="Z189" s="244"/>
      <c r="AA189" s="244"/>
      <c r="AB189" s="244"/>
      <c r="AC189" s="244"/>
      <c r="AD189" s="244"/>
      <c r="AE189" s="244"/>
      <c r="AF189" s="244"/>
      <c r="AG189" s="244"/>
      <c r="AH189" s="244"/>
      <c r="AI189" s="244"/>
      <c r="AJ189" s="244"/>
      <c r="AK189" s="244"/>
      <c r="AL189" s="244"/>
      <c r="AM189" s="244"/>
      <c r="AN189" s="244"/>
    </row>
    <row r="190" spans="1:40" x14ac:dyDescent="0.2">
      <c r="A190" s="298"/>
      <c r="B190" s="298"/>
      <c r="C190" s="298"/>
      <c r="D190" s="298"/>
      <c r="E190" s="298"/>
      <c r="F190" s="298"/>
      <c r="G190" s="298"/>
      <c r="H190" s="298"/>
      <c r="I190" s="298"/>
      <c r="J190" s="298"/>
      <c r="K190" s="298"/>
      <c r="L190" s="298"/>
      <c r="M190" s="298"/>
      <c r="N190" s="298"/>
      <c r="O190" s="298"/>
      <c r="P190" s="298"/>
      <c r="Q190" s="298"/>
      <c r="R190" s="298"/>
      <c r="T190" s="244"/>
      <c r="U190" s="244"/>
      <c r="V190" s="244"/>
      <c r="W190" s="244"/>
      <c r="X190" s="244"/>
      <c r="Y190" s="244"/>
      <c r="Z190" s="244"/>
      <c r="AA190" s="244"/>
      <c r="AB190" s="244"/>
      <c r="AC190" s="244"/>
      <c r="AD190" s="244"/>
      <c r="AE190" s="244"/>
      <c r="AF190" s="244"/>
      <c r="AG190" s="244"/>
      <c r="AH190" s="244"/>
      <c r="AI190" s="244"/>
      <c r="AJ190" s="244"/>
      <c r="AK190" s="244"/>
      <c r="AL190" s="244"/>
      <c r="AM190" s="244"/>
      <c r="AN190" s="244"/>
    </row>
    <row r="191" spans="1:40" x14ac:dyDescent="0.2">
      <c r="A191" s="298"/>
      <c r="B191" s="298"/>
      <c r="C191" s="298"/>
      <c r="D191" s="298"/>
      <c r="E191" s="298"/>
      <c r="F191" s="298"/>
      <c r="G191" s="298"/>
      <c r="H191" s="298"/>
      <c r="I191" s="298"/>
      <c r="J191" s="298"/>
      <c r="K191" s="298"/>
      <c r="L191" s="298"/>
      <c r="M191" s="298"/>
      <c r="N191" s="298"/>
      <c r="O191" s="298"/>
      <c r="P191" s="298"/>
      <c r="Q191" s="298"/>
      <c r="R191" s="298"/>
      <c r="T191" s="244"/>
      <c r="U191" s="244"/>
      <c r="V191" s="244"/>
      <c r="W191" s="244"/>
      <c r="X191" s="244"/>
      <c r="Y191" s="244"/>
      <c r="Z191" s="244"/>
      <c r="AA191" s="244"/>
      <c r="AB191" s="244"/>
      <c r="AC191" s="244"/>
      <c r="AD191" s="244"/>
      <c r="AE191" s="244"/>
      <c r="AF191" s="244"/>
      <c r="AG191" s="244"/>
      <c r="AH191" s="244"/>
      <c r="AI191" s="244"/>
      <c r="AJ191" s="244"/>
      <c r="AK191" s="244"/>
      <c r="AL191" s="244"/>
      <c r="AM191" s="244"/>
      <c r="AN191" s="244"/>
    </row>
    <row r="192" spans="1:40" x14ac:dyDescent="0.2">
      <c r="A192" s="298"/>
      <c r="B192" s="298"/>
      <c r="C192" s="298"/>
      <c r="D192" s="298"/>
      <c r="E192" s="298"/>
      <c r="F192" s="298"/>
      <c r="G192" s="298"/>
      <c r="H192" s="298"/>
      <c r="I192" s="298"/>
      <c r="J192" s="298"/>
      <c r="K192" s="298"/>
      <c r="L192" s="298"/>
      <c r="M192" s="298"/>
      <c r="N192" s="298"/>
      <c r="O192" s="298"/>
      <c r="P192" s="298"/>
      <c r="Q192" s="298"/>
      <c r="R192" s="298"/>
      <c r="T192" s="244"/>
      <c r="U192" s="244"/>
      <c r="V192" s="244"/>
      <c r="W192" s="244"/>
      <c r="X192" s="244"/>
      <c r="Y192" s="244"/>
      <c r="Z192" s="244"/>
      <c r="AA192" s="244"/>
      <c r="AB192" s="244"/>
      <c r="AC192" s="244"/>
      <c r="AD192" s="244"/>
      <c r="AE192" s="244"/>
      <c r="AF192" s="244"/>
      <c r="AG192" s="244"/>
      <c r="AH192" s="244"/>
      <c r="AI192" s="244"/>
      <c r="AJ192" s="244"/>
      <c r="AK192" s="244"/>
      <c r="AL192" s="244"/>
      <c r="AM192" s="244"/>
      <c r="AN192" s="244"/>
    </row>
    <row r="193" spans="1:40" x14ac:dyDescent="0.2">
      <c r="A193" s="298"/>
      <c r="B193" s="298"/>
      <c r="C193" s="298"/>
      <c r="D193" s="298"/>
      <c r="E193" s="298"/>
      <c r="F193" s="298"/>
      <c r="G193" s="298"/>
      <c r="H193" s="298"/>
      <c r="I193" s="298"/>
      <c r="J193" s="298"/>
      <c r="K193" s="298"/>
      <c r="L193" s="298"/>
      <c r="M193" s="298"/>
      <c r="N193" s="298"/>
      <c r="O193" s="298"/>
      <c r="P193" s="298"/>
      <c r="Q193" s="298"/>
      <c r="R193" s="298"/>
      <c r="T193" s="244"/>
      <c r="U193" s="244"/>
      <c r="V193" s="244"/>
      <c r="W193" s="244"/>
      <c r="X193" s="244"/>
      <c r="Y193" s="244"/>
      <c r="Z193" s="244"/>
      <c r="AA193" s="244"/>
      <c r="AB193" s="244"/>
      <c r="AC193" s="244"/>
      <c r="AD193" s="244"/>
      <c r="AE193" s="244"/>
      <c r="AF193" s="244"/>
      <c r="AG193" s="244"/>
      <c r="AH193" s="244"/>
      <c r="AI193" s="244"/>
      <c r="AJ193" s="244"/>
      <c r="AK193" s="244"/>
      <c r="AL193" s="244"/>
      <c r="AM193" s="244"/>
      <c r="AN193" s="244"/>
    </row>
    <row r="194" spans="1:40" x14ac:dyDescent="0.2">
      <c r="A194" s="298"/>
      <c r="B194" s="298"/>
      <c r="C194" s="298"/>
      <c r="D194" s="298"/>
      <c r="E194" s="298"/>
      <c r="F194" s="298"/>
      <c r="G194" s="298"/>
      <c r="H194" s="298"/>
      <c r="I194" s="298"/>
      <c r="J194" s="298"/>
      <c r="K194" s="298"/>
      <c r="L194" s="298"/>
      <c r="M194" s="298"/>
      <c r="N194" s="298"/>
      <c r="O194" s="298"/>
      <c r="P194" s="298"/>
      <c r="Q194" s="298"/>
      <c r="R194" s="298"/>
      <c r="T194" s="244"/>
      <c r="U194" s="244"/>
      <c r="V194" s="244"/>
      <c r="W194" s="244"/>
      <c r="X194" s="244"/>
      <c r="Y194" s="244"/>
      <c r="Z194" s="244"/>
      <c r="AA194" s="244"/>
      <c r="AB194" s="244"/>
      <c r="AC194" s="244"/>
      <c r="AD194" s="244"/>
      <c r="AE194" s="244"/>
      <c r="AF194" s="244"/>
      <c r="AG194" s="244"/>
      <c r="AH194" s="244"/>
      <c r="AI194" s="244"/>
      <c r="AJ194" s="244"/>
      <c r="AK194" s="244"/>
      <c r="AL194" s="244"/>
      <c r="AM194" s="244"/>
      <c r="AN194" s="244"/>
    </row>
    <row r="195" spans="1:40" x14ac:dyDescent="0.2">
      <c r="A195" s="298"/>
      <c r="B195" s="298"/>
      <c r="C195" s="298"/>
      <c r="D195" s="298"/>
      <c r="E195" s="298"/>
      <c r="F195" s="298"/>
      <c r="G195" s="298"/>
      <c r="H195" s="298"/>
      <c r="I195" s="298"/>
      <c r="J195" s="298"/>
      <c r="K195" s="298"/>
      <c r="L195" s="298"/>
      <c r="M195" s="298"/>
      <c r="N195" s="298"/>
      <c r="O195" s="298"/>
      <c r="P195" s="298"/>
      <c r="Q195" s="298"/>
      <c r="R195" s="298"/>
      <c r="T195" s="244"/>
      <c r="U195" s="244"/>
      <c r="V195" s="244"/>
      <c r="W195" s="244"/>
      <c r="X195" s="244"/>
      <c r="Y195" s="244"/>
      <c r="Z195" s="244"/>
      <c r="AA195" s="244"/>
      <c r="AB195" s="244"/>
      <c r="AC195" s="244"/>
      <c r="AD195" s="244"/>
      <c r="AE195" s="244"/>
      <c r="AF195" s="244"/>
      <c r="AG195" s="244"/>
      <c r="AH195" s="244"/>
      <c r="AI195" s="244"/>
      <c r="AJ195" s="244"/>
      <c r="AK195" s="244"/>
      <c r="AL195" s="244"/>
      <c r="AM195" s="244"/>
      <c r="AN195" s="244"/>
    </row>
    <row r="196" spans="1:40" x14ac:dyDescent="0.2">
      <c r="A196" s="298"/>
      <c r="B196" s="298"/>
      <c r="C196" s="298"/>
      <c r="D196" s="298"/>
      <c r="E196" s="298"/>
      <c r="F196" s="298"/>
      <c r="G196" s="298"/>
      <c r="H196" s="298"/>
      <c r="I196" s="298"/>
      <c r="J196" s="298"/>
      <c r="K196" s="298"/>
      <c r="L196" s="298"/>
      <c r="M196" s="298"/>
      <c r="N196" s="298"/>
      <c r="O196" s="298"/>
      <c r="P196" s="298"/>
      <c r="Q196" s="298"/>
      <c r="R196" s="298"/>
      <c r="T196" s="244"/>
      <c r="U196" s="244"/>
      <c r="V196" s="244"/>
      <c r="W196" s="244"/>
      <c r="X196" s="244"/>
      <c r="Y196" s="244"/>
      <c r="Z196" s="244"/>
      <c r="AA196" s="244"/>
      <c r="AB196" s="244"/>
      <c r="AC196" s="244"/>
      <c r="AD196" s="244"/>
      <c r="AE196" s="244"/>
      <c r="AF196" s="244"/>
      <c r="AG196" s="244"/>
      <c r="AH196" s="244"/>
      <c r="AI196" s="244"/>
      <c r="AJ196" s="244"/>
      <c r="AK196" s="244"/>
      <c r="AL196" s="244"/>
      <c r="AM196" s="244"/>
      <c r="AN196" s="244"/>
    </row>
    <row r="197" spans="1:40" x14ac:dyDescent="0.2">
      <c r="A197" s="298"/>
      <c r="B197" s="298"/>
      <c r="C197" s="298"/>
      <c r="D197" s="298"/>
      <c r="E197" s="298"/>
      <c r="F197" s="298"/>
      <c r="G197" s="298"/>
      <c r="H197" s="298"/>
      <c r="I197" s="298"/>
      <c r="J197" s="298"/>
      <c r="K197" s="298"/>
      <c r="L197" s="298"/>
      <c r="M197" s="298"/>
      <c r="N197" s="298"/>
      <c r="O197" s="298"/>
      <c r="P197" s="298"/>
      <c r="Q197" s="298"/>
      <c r="R197" s="298"/>
      <c r="T197" s="244"/>
      <c r="U197" s="244"/>
      <c r="V197" s="244"/>
      <c r="W197" s="244"/>
      <c r="X197" s="244"/>
      <c r="Y197" s="244"/>
      <c r="Z197" s="244"/>
      <c r="AA197" s="244"/>
      <c r="AB197" s="244"/>
      <c r="AC197" s="244"/>
      <c r="AD197" s="244"/>
      <c r="AE197" s="244"/>
      <c r="AF197" s="244"/>
      <c r="AG197" s="244"/>
      <c r="AH197" s="244"/>
      <c r="AI197" s="244"/>
      <c r="AJ197" s="244"/>
      <c r="AK197" s="244"/>
      <c r="AL197" s="244"/>
      <c r="AM197" s="244"/>
      <c r="AN197" s="244"/>
    </row>
    <row r="198" spans="1:40" x14ac:dyDescent="0.2">
      <c r="A198" s="298"/>
      <c r="B198" s="298"/>
      <c r="C198" s="298"/>
      <c r="D198" s="298"/>
      <c r="E198" s="298"/>
      <c r="F198" s="298"/>
      <c r="G198" s="298"/>
      <c r="H198" s="298"/>
      <c r="I198" s="298"/>
      <c r="J198" s="298"/>
      <c r="K198" s="298"/>
      <c r="L198" s="298"/>
      <c r="M198" s="298"/>
      <c r="N198" s="298"/>
      <c r="O198" s="298"/>
      <c r="P198" s="298"/>
      <c r="Q198" s="298"/>
      <c r="R198" s="298"/>
      <c r="T198" s="244"/>
      <c r="U198" s="244"/>
      <c r="V198" s="244"/>
      <c r="W198" s="244"/>
      <c r="X198" s="244"/>
      <c r="Y198" s="244"/>
      <c r="Z198" s="244"/>
      <c r="AA198" s="244"/>
      <c r="AB198" s="244"/>
      <c r="AC198" s="244"/>
      <c r="AD198" s="244"/>
      <c r="AE198" s="244"/>
      <c r="AF198" s="244"/>
      <c r="AG198" s="244"/>
      <c r="AH198" s="244"/>
      <c r="AI198" s="244"/>
      <c r="AJ198" s="244"/>
      <c r="AK198" s="244"/>
      <c r="AL198" s="244"/>
      <c r="AM198" s="244"/>
      <c r="AN198" s="244"/>
    </row>
    <row r="199" spans="1:40" x14ac:dyDescent="0.2">
      <c r="A199" s="298"/>
      <c r="B199" s="298"/>
      <c r="C199" s="298"/>
      <c r="D199" s="298"/>
      <c r="E199" s="298"/>
      <c r="F199" s="298"/>
      <c r="G199" s="298"/>
      <c r="H199" s="298"/>
      <c r="I199" s="298"/>
      <c r="J199" s="298"/>
      <c r="K199" s="298"/>
      <c r="L199" s="298"/>
      <c r="M199" s="298"/>
      <c r="N199" s="298"/>
      <c r="O199" s="298"/>
      <c r="P199" s="298"/>
      <c r="Q199" s="298"/>
      <c r="R199" s="298"/>
      <c r="T199" s="244"/>
      <c r="U199" s="244"/>
      <c r="V199" s="244"/>
      <c r="W199" s="244"/>
      <c r="X199" s="244"/>
      <c r="Y199" s="244"/>
      <c r="Z199" s="244"/>
      <c r="AA199" s="244"/>
      <c r="AB199" s="244"/>
      <c r="AC199" s="244"/>
      <c r="AD199" s="244"/>
      <c r="AE199" s="244"/>
      <c r="AF199" s="244"/>
      <c r="AG199" s="244"/>
      <c r="AH199" s="244"/>
      <c r="AI199" s="244"/>
      <c r="AJ199" s="244"/>
      <c r="AK199" s="244"/>
      <c r="AL199" s="244"/>
      <c r="AM199" s="244"/>
      <c r="AN199" s="244"/>
    </row>
    <row r="200" spans="1:40" x14ac:dyDescent="0.2">
      <c r="A200" s="298"/>
      <c r="B200" s="298"/>
      <c r="C200" s="298"/>
      <c r="D200" s="298"/>
      <c r="E200" s="298"/>
      <c r="F200" s="298"/>
      <c r="G200" s="298"/>
      <c r="H200" s="298"/>
      <c r="I200" s="298"/>
      <c r="J200" s="298"/>
      <c r="K200" s="298"/>
      <c r="L200" s="298"/>
      <c r="M200" s="298"/>
      <c r="N200" s="298"/>
      <c r="O200" s="298"/>
      <c r="P200" s="298"/>
      <c r="Q200" s="298"/>
      <c r="R200" s="298"/>
      <c r="T200" s="244"/>
      <c r="U200" s="244"/>
      <c r="V200" s="244"/>
      <c r="W200" s="244"/>
      <c r="X200" s="244"/>
      <c r="Y200" s="244"/>
      <c r="Z200" s="244"/>
      <c r="AA200" s="244"/>
      <c r="AB200" s="244"/>
      <c r="AC200" s="244"/>
      <c r="AD200" s="244"/>
      <c r="AE200" s="244"/>
      <c r="AF200" s="244"/>
      <c r="AG200" s="244"/>
      <c r="AH200" s="244"/>
      <c r="AI200" s="244"/>
      <c r="AJ200" s="244"/>
      <c r="AK200" s="244"/>
      <c r="AL200" s="244"/>
      <c r="AM200" s="244"/>
      <c r="AN200" s="244"/>
    </row>
    <row r="201" spans="1:40" x14ac:dyDescent="0.2">
      <c r="A201" s="298"/>
      <c r="B201" s="298"/>
      <c r="C201" s="298"/>
      <c r="D201" s="298"/>
      <c r="E201" s="298"/>
      <c r="F201" s="298"/>
      <c r="G201" s="298"/>
      <c r="H201" s="298"/>
      <c r="I201" s="298"/>
      <c r="J201" s="298"/>
      <c r="K201" s="298"/>
      <c r="L201" s="298"/>
      <c r="M201" s="298"/>
      <c r="N201" s="298"/>
      <c r="O201" s="298"/>
      <c r="P201" s="298"/>
      <c r="Q201" s="298"/>
      <c r="R201" s="298"/>
      <c r="T201" s="244"/>
      <c r="U201" s="244"/>
      <c r="V201" s="244"/>
      <c r="W201" s="244"/>
      <c r="X201" s="244"/>
      <c r="Y201" s="244"/>
      <c r="Z201" s="244"/>
      <c r="AA201" s="244"/>
      <c r="AB201" s="244"/>
      <c r="AC201" s="244"/>
      <c r="AD201" s="244"/>
      <c r="AE201" s="244"/>
      <c r="AF201" s="244"/>
      <c r="AG201" s="244"/>
      <c r="AH201" s="244"/>
      <c r="AI201" s="244"/>
      <c r="AJ201" s="244"/>
      <c r="AK201" s="244"/>
      <c r="AL201" s="244"/>
      <c r="AM201" s="244"/>
      <c r="AN201" s="244"/>
    </row>
    <row r="202" spans="1:40" x14ac:dyDescent="0.2">
      <c r="A202" s="298"/>
      <c r="B202" s="298"/>
      <c r="C202" s="298"/>
      <c r="D202" s="298"/>
      <c r="E202" s="298"/>
      <c r="F202" s="298"/>
      <c r="G202" s="298"/>
      <c r="H202" s="298"/>
      <c r="I202" s="298"/>
      <c r="J202" s="298"/>
      <c r="K202" s="298"/>
      <c r="L202" s="298"/>
      <c r="M202" s="298"/>
      <c r="N202" s="298"/>
      <c r="O202" s="298"/>
      <c r="P202" s="298"/>
      <c r="Q202" s="298"/>
      <c r="R202" s="298"/>
      <c r="T202" s="244"/>
      <c r="U202" s="244"/>
      <c r="V202" s="244"/>
      <c r="W202" s="244"/>
      <c r="X202" s="244"/>
      <c r="Y202" s="244"/>
      <c r="Z202" s="244"/>
      <c r="AA202" s="244"/>
      <c r="AB202" s="244"/>
      <c r="AC202" s="244"/>
      <c r="AD202" s="244"/>
      <c r="AE202" s="244"/>
      <c r="AF202" s="244"/>
      <c r="AG202" s="244"/>
      <c r="AH202" s="244"/>
      <c r="AI202" s="244"/>
      <c r="AJ202" s="244"/>
      <c r="AK202" s="244"/>
      <c r="AL202" s="244"/>
      <c r="AM202" s="244"/>
      <c r="AN202" s="244"/>
    </row>
    <row r="203" spans="1:40" x14ac:dyDescent="0.2">
      <c r="A203" s="298"/>
      <c r="B203" s="298"/>
      <c r="C203" s="298"/>
      <c r="D203" s="298"/>
      <c r="E203" s="298"/>
      <c r="F203" s="298"/>
      <c r="G203" s="298"/>
      <c r="H203" s="298"/>
      <c r="I203" s="298"/>
      <c r="J203" s="298"/>
      <c r="K203" s="298"/>
      <c r="L203" s="298"/>
      <c r="M203" s="298"/>
      <c r="N203" s="298"/>
      <c r="O203" s="298"/>
      <c r="P203" s="298"/>
      <c r="Q203" s="298"/>
      <c r="R203" s="298"/>
      <c r="T203" s="244"/>
      <c r="U203" s="244"/>
      <c r="V203" s="244"/>
      <c r="W203" s="244"/>
      <c r="X203" s="244"/>
      <c r="Y203" s="244"/>
      <c r="Z203" s="244"/>
      <c r="AA203" s="244"/>
      <c r="AB203" s="244"/>
      <c r="AC203" s="244"/>
      <c r="AD203" s="244"/>
      <c r="AE203" s="244"/>
      <c r="AF203" s="244"/>
      <c r="AG203" s="244"/>
      <c r="AH203" s="244"/>
      <c r="AI203" s="244"/>
      <c r="AJ203" s="244"/>
      <c r="AK203" s="244"/>
      <c r="AL203" s="244"/>
      <c r="AM203" s="244"/>
      <c r="AN203" s="244"/>
    </row>
    <row r="204" spans="1:40" x14ac:dyDescent="0.2">
      <c r="A204" s="298"/>
      <c r="B204" s="298"/>
      <c r="C204" s="298"/>
      <c r="D204" s="298"/>
      <c r="E204" s="298"/>
      <c r="F204" s="298"/>
      <c r="G204" s="298"/>
      <c r="H204" s="298"/>
      <c r="I204" s="298"/>
      <c r="J204" s="298"/>
      <c r="K204" s="298"/>
      <c r="L204" s="298"/>
      <c r="M204" s="298"/>
      <c r="N204" s="298"/>
      <c r="O204" s="298"/>
      <c r="P204" s="298"/>
      <c r="Q204" s="298"/>
      <c r="R204" s="298"/>
      <c r="T204" s="244"/>
      <c r="U204" s="244"/>
      <c r="V204" s="244"/>
      <c r="W204" s="244"/>
      <c r="X204" s="244"/>
      <c r="Y204" s="244"/>
      <c r="Z204" s="244"/>
      <c r="AA204" s="244"/>
      <c r="AB204" s="244"/>
      <c r="AC204" s="244"/>
      <c r="AD204" s="244"/>
      <c r="AE204" s="244"/>
      <c r="AF204" s="244"/>
      <c r="AG204" s="244"/>
      <c r="AH204" s="244"/>
      <c r="AI204" s="244"/>
      <c r="AJ204" s="244"/>
      <c r="AK204" s="244"/>
      <c r="AL204" s="244"/>
      <c r="AM204" s="244"/>
      <c r="AN204" s="244"/>
    </row>
    <row r="205" spans="1:40" x14ac:dyDescent="0.2">
      <c r="A205" s="298"/>
      <c r="B205" s="298"/>
      <c r="C205" s="298"/>
      <c r="D205" s="298"/>
      <c r="E205" s="298"/>
      <c r="F205" s="298"/>
      <c r="G205" s="298"/>
      <c r="H205" s="298"/>
      <c r="I205" s="298"/>
      <c r="J205" s="298"/>
      <c r="K205" s="298"/>
      <c r="L205" s="298"/>
      <c r="M205" s="298"/>
      <c r="N205" s="298"/>
      <c r="O205" s="298"/>
      <c r="P205" s="298"/>
      <c r="Q205" s="298"/>
      <c r="R205" s="298"/>
      <c r="T205" s="244"/>
      <c r="U205" s="244"/>
      <c r="V205" s="244"/>
      <c r="W205" s="244"/>
      <c r="X205" s="244"/>
      <c r="Y205" s="244"/>
      <c r="Z205" s="244"/>
      <c r="AA205" s="244"/>
      <c r="AB205" s="244"/>
      <c r="AC205" s="244"/>
      <c r="AD205" s="244"/>
      <c r="AE205" s="244"/>
      <c r="AF205" s="244"/>
      <c r="AG205" s="244"/>
      <c r="AH205" s="244"/>
      <c r="AI205" s="244"/>
      <c r="AJ205" s="244"/>
      <c r="AK205" s="244"/>
      <c r="AL205" s="244"/>
      <c r="AM205" s="244"/>
      <c r="AN205" s="244"/>
    </row>
    <row r="206" spans="1:40" x14ac:dyDescent="0.2">
      <c r="A206" s="298"/>
      <c r="B206" s="298"/>
      <c r="C206" s="298"/>
      <c r="D206" s="298"/>
      <c r="E206" s="298"/>
      <c r="F206" s="298"/>
      <c r="G206" s="298"/>
      <c r="H206" s="298"/>
      <c r="I206" s="298"/>
      <c r="J206" s="298"/>
      <c r="K206" s="298"/>
      <c r="L206" s="298"/>
      <c r="M206" s="298"/>
      <c r="N206" s="298"/>
      <c r="O206" s="298"/>
      <c r="P206" s="298"/>
      <c r="Q206" s="298"/>
      <c r="R206" s="298"/>
      <c r="T206" s="244"/>
      <c r="U206" s="244"/>
      <c r="V206" s="244"/>
      <c r="W206" s="244"/>
      <c r="X206" s="244"/>
      <c r="Y206" s="244"/>
      <c r="Z206" s="244"/>
      <c r="AA206" s="244"/>
      <c r="AB206" s="244"/>
      <c r="AC206" s="244"/>
      <c r="AD206" s="244"/>
      <c r="AE206" s="244"/>
      <c r="AF206" s="244"/>
      <c r="AG206" s="244"/>
      <c r="AH206" s="244"/>
      <c r="AI206" s="244"/>
      <c r="AJ206" s="244"/>
      <c r="AK206" s="244"/>
      <c r="AL206" s="244"/>
      <c r="AM206" s="244"/>
      <c r="AN206" s="244"/>
    </row>
    <row r="207" spans="1:40" x14ac:dyDescent="0.2">
      <c r="A207" s="298"/>
      <c r="B207" s="298"/>
      <c r="C207" s="298"/>
      <c r="D207" s="298"/>
      <c r="E207" s="298"/>
      <c r="F207" s="298"/>
      <c r="G207" s="298"/>
      <c r="H207" s="298"/>
      <c r="I207" s="298"/>
      <c r="J207" s="298"/>
      <c r="K207" s="298"/>
      <c r="L207" s="298"/>
      <c r="M207" s="298"/>
      <c r="N207" s="298"/>
      <c r="O207" s="298"/>
      <c r="P207" s="298"/>
      <c r="Q207" s="298"/>
      <c r="R207" s="298"/>
      <c r="T207" s="244"/>
      <c r="U207" s="244"/>
      <c r="V207" s="244"/>
      <c r="W207" s="244"/>
      <c r="X207" s="244"/>
      <c r="Y207" s="244"/>
      <c r="Z207" s="244"/>
      <c r="AA207" s="244"/>
      <c r="AB207" s="244"/>
      <c r="AC207" s="244"/>
      <c r="AD207" s="244"/>
      <c r="AE207" s="244"/>
      <c r="AF207" s="244"/>
      <c r="AG207" s="244"/>
      <c r="AH207" s="244"/>
      <c r="AI207" s="244"/>
      <c r="AJ207" s="244"/>
      <c r="AK207" s="244"/>
      <c r="AL207" s="244"/>
      <c r="AM207" s="244"/>
      <c r="AN207" s="244"/>
    </row>
    <row r="208" spans="1:40" x14ac:dyDescent="0.2">
      <c r="A208" s="298"/>
      <c r="B208" s="298"/>
      <c r="C208" s="298"/>
      <c r="D208" s="298"/>
      <c r="E208" s="298"/>
      <c r="F208" s="298"/>
      <c r="G208" s="298"/>
      <c r="H208" s="298"/>
      <c r="I208" s="298"/>
      <c r="J208" s="298"/>
      <c r="K208" s="298"/>
      <c r="L208" s="298"/>
      <c r="M208" s="298"/>
      <c r="N208" s="298"/>
      <c r="O208" s="298"/>
      <c r="P208" s="298"/>
      <c r="Q208" s="298"/>
      <c r="R208" s="298"/>
      <c r="T208" s="244"/>
      <c r="U208" s="244"/>
      <c r="V208" s="244"/>
      <c r="W208" s="244"/>
      <c r="X208" s="244"/>
      <c r="Y208" s="244"/>
      <c r="Z208" s="244"/>
      <c r="AA208" s="244"/>
      <c r="AB208" s="244"/>
      <c r="AC208" s="244"/>
      <c r="AD208" s="244"/>
      <c r="AE208" s="244"/>
      <c r="AF208" s="244"/>
      <c r="AG208" s="244"/>
      <c r="AH208" s="244"/>
      <c r="AI208" s="244"/>
      <c r="AJ208" s="244"/>
      <c r="AK208" s="244"/>
      <c r="AL208" s="244"/>
      <c r="AM208" s="244"/>
      <c r="AN208" s="244"/>
    </row>
    <row r="209" spans="1:40" x14ac:dyDescent="0.2">
      <c r="A209" s="298"/>
      <c r="B209" s="298"/>
      <c r="C209" s="298"/>
      <c r="D209" s="298"/>
      <c r="E209" s="298"/>
      <c r="F209" s="298"/>
      <c r="G209" s="298"/>
      <c r="H209" s="298"/>
      <c r="I209" s="298"/>
      <c r="J209" s="298"/>
      <c r="K209" s="298"/>
      <c r="L209" s="298"/>
      <c r="M209" s="298"/>
      <c r="N209" s="298"/>
      <c r="O209" s="298"/>
      <c r="P209" s="298"/>
      <c r="Q209" s="298"/>
      <c r="R209" s="298"/>
      <c r="T209" s="244"/>
      <c r="U209" s="244"/>
      <c r="V209" s="244"/>
      <c r="W209" s="244"/>
      <c r="X209" s="244"/>
      <c r="Y209" s="244"/>
      <c r="Z209" s="244"/>
      <c r="AA209" s="244"/>
      <c r="AB209" s="244"/>
      <c r="AC209" s="244"/>
      <c r="AD209" s="244"/>
      <c r="AE209" s="244"/>
      <c r="AF209" s="244"/>
      <c r="AG209" s="244"/>
      <c r="AH209" s="244"/>
      <c r="AI209" s="244"/>
      <c r="AJ209" s="244"/>
      <c r="AK209" s="244"/>
      <c r="AL209" s="244"/>
      <c r="AM209" s="244"/>
      <c r="AN209" s="244"/>
    </row>
    <row r="210" spans="1:40" x14ac:dyDescent="0.2">
      <c r="A210" s="298"/>
      <c r="B210" s="298"/>
      <c r="C210" s="298"/>
      <c r="D210" s="298"/>
      <c r="E210" s="298"/>
      <c r="F210" s="298"/>
      <c r="G210" s="298"/>
      <c r="H210" s="298"/>
      <c r="I210" s="298"/>
      <c r="J210" s="298"/>
      <c r="K210" s="298"/>
      <c r="L210" s="298"/>
      <c r="M210" s="298"/>
      <c r="N210" s="298"/>
      <c r="O210" s="298"/>
      <c r="P210" s="298"/>
      <c r="Q210" s="298"/>
      <c r="R210" s="298"/>
      <c r="T210" s="244"/>
      <c r="U210" s="244"/>
      <c r="V210" s="244"/>
      <c r="W210" s="244"/>
      <c r="X210" s="244"/>
      <c r="Y210" s="244"/>
      <c r="Z210" s="244"/>
      <c r="AA210" s="244"/>
      <c r="AB210" s="244"/>
      <c r="AC210" s="244"/>
      <c r="AD210" s="244"/>
      <c r="AE210" s="244"/>
      <c r="AF210" s="244"/>
      <c r="AG210" s="244"/>
      <c r="AH210" s="244"/>
      <c r="AI210" s="244"/>
      <c r="AJ210" s="244"/>
      <c r="AK210" s="244"/>
      <c r="AL210" s="244"/>
      <c r="AM210" s="244"/>
      <c r="AN210" s="244"/>
    </row>
    <row r="211" spans="1:40" x14ac:dyDescent="0.2">
      <c r="A211" s="298"/>
      <c r="B211" s="298"/>
      <c r="C211" s="298"/>
      <c r="D211" s="298"/>
      <c r="E211" s="298"/>
      <c r="F211" s="298"/>
      <c r="G211" s="298"/>
      <c r="H211" s="298"/>
      <c r="I211" s="298"/>
      <c r="J211" s="298"/>
      <c r="K211" s="298"/>
      <c r="L211" s="298"/>
      <c r="M211" s="298"/>
      <c r="N211" s="298"/>
      <c r="O211" s="298"/>
      <c r="P211" s="298"/>
      <c r="Q211" s="298"/>
      <c r="R211" s="298"/>
      <c r="T211" s="244"/>
      <c r="U211" s="244"/>
      <c r="V211" s="244"/>
      <c r="W211" s="244"/>
      <c r="X211" s="244"/>
      <c r="Y211" s="244"/>
      <c r="Z211" s="244"/>
      <c r="AA211" s="244"/>
      <c r="AB211" s="244"/>
      <c r="AC211" s="244"/>
      <c r="AD211" s="244"/>
      <c r="AE211" s="244"/>
      <c r="AF211" s="244"/>
      <c r="AG211" s="244"/>
      <c r="AH211" s="244"/>
      <c r="AI211" s="244"/>
      <c r="AJ211" s="244"/>
      <c r="AK211" s="244"/>
      <c r="AL211" s="244"/>
      <c r="AM211" s="244"/>
      <c r="AN211" s="244"/>
    </row>
    <row r="212" spans="1:40" x14ac:dyDescent="0.2">
      <c r="A212" s="298"/>
      <c r="B212" s="298"/>
      <c r="C212" s="298"/>
      <c r="D212" s="298"/>
      <c r="E212" s="298"/>
      <c r="F212" s="298"/>
      <c r="G212" s="298"/>
      <c r="H212" s="298"/>
      <c r="I212" s="298"/>
      <c r="J212" s="298"/>
      <c r="K212" s="298"/>
      <c r="L212" s="298"/>
      <c r="M212" s="298"/>
      <c r="N212" s="298"/>
      <c r="O212" s="298"/>
      <c r="P212" s="298"/>
      <c r="Q212" s="298"/>
      <c r="R212" s="298"/>
      <c r="T212" s="244"/>
      <c r="U212" s="244"/>
      <c r="V212" s="244"/>
      <c r="W212" s="244"/>
      <c r="X212" s="244"/>
      <c r="Y212" s="244"/>
      <c r="Z212" s="244"/>
      <c r="AA212" s="244"/>
      <c r="AB212" s="244"/>
      <c r="AC212" s="244"/>
      <c r="AD212" s="244"/>
      <c r="AE212" s="244"/>
      <c r="AF212" s="244"/>
      <c r="AG212" s="244"/>
      <c r="AH212" s="244"/>
      <c r="AI212" s="244"/>
      <c r="AJ212" s="244"/>
      <c r="AK212" s="244"/>
      <c r="AL212" s="244"/>
      <c r="AM212" s="244"/>
      <c r="AN212" s="244"/>
    </row>
    <row r="213" spans="1:40" x14ac:dyDescent="0.2">
      <c r="A213" s="298"/>
      <c r="B213" s="298"/>
      <c r="C213" s="298"/>
      <c r="D213" s="298"/>
      <c r="E213" s="298"/>
      <c r="F213" s="298"/>
      <c r="G213" s="298"/>
      <c r="H213" s="298"/>
      <c r="I213" s="298"/>
      <c r="J213" s="298"/>
      <c r="K213" s="298"/>
      <c r="L213" s="298"/>
      <c r="M213" s="298"/>
      <c r="N213" s="298"/>
      <c r="O213" s="298"/>
      <c r="P213" s="298"/>
      <c r="Q213" s="298"/>
      <c r="R213" s="298"/>
      <c r="T213" s="244"/>
      <c r="U213" s="244"/>
      <c r="V213" s="244"/>
      <c r="W213" s="244"/>
      <c r="X213" s="244"/>
      <c r="Y213" s="244"/>
      <c r="Z213" s="244"/>
      <c r="AA213" s="244"/>
      <c r="AB213" s="244"/>
      <c r="AC213" s="244"/>
      <c r="AD213" s="244"/>
      <c r="AE213" s="244"/>
      <c r="AF213" s="244"/>
      <c r="AG213" s="244"/>
      <c r="AH213" s="244"/>
      <c r="AI213" s="244"/>
      <c r="AJ213" s="244"/>
      <c r="AK213" s="244"/>
      <c r="AL213" s="244"/>
      <c r="AM213" s="244"/>
      <c r="AN213" s="244"/>
    </row>
    <row r="214" spans="1:40" x14ac:dyDescent="0.2">
      <c r="A214" s="298"/>
      <c r="B214" s="298"/>
      <c r="C214" s="298"/>
      <c r="D214" s="298"/>
      <c r="E214" s="298"/>
      <c r="F214" s="298"/>
      <c r="G214" s="298"/>
      <c r="H214" s="298"/>
      <c r="I214" s="298"/>
      <c r="J214" s="298"/>
      <c r="K214" s="298"/>
      <c r="L214" s="298"/>
      <c r="M214" s="298"/>
      <c r="N214" s="298"/>
      <c r="O214" s="298"/>
      <c r="P214" s="298"/>
      <c r="Q214" s="298"/>
      <c r="R214" s="298"/>
      <c r="T214" s="244"/>
      <c r="U214" s="244"/>
      <c r="V214" s="244"/>
      <c r="W214" s="244"/>
      <c r="X214" s="244"/>
      <c r="Y214" s="244"/>
      <c r="Z214" s="244"/>
      <c r="AA214" s="244"/>
      <c r="AB214" s="244"/>
      <c r="AC214" s="244"/>
      <c r="AD214" s="244"/>
      <c r="AE214" s="244"/>
      <c r="AF214" s="244"/>
      <c r="AG214" s="244"/>
      <c r="AH214" s="244"/>
      <c r="AI214" s="244"/>
      <c r="AJ214" s="244"/>
      <c r="AK214" s="244"/>
      <c r="AL214" s="244"/>
      <c r="AM214" s="244"/>
      <c r="AN214" s="244"/>
    </row>
    <row r="215" spans="1:40" x14ac:dyDescent="0.2">
      <c r="A215" s="298"/>
      <c r="B215" s="298"/>
      <c r="C215" s="298"/>
      <c r="D215" s="298"/>
      <c r="E215" s="298"/>
      <c r="F215" s="298"/>
      <c r="G215" s="298"/>
      <c r="H215" s="298"/>
      <c r="I215" s="298"/>
      <c r="J215" s="298"/>
      <c r="K215" s="298"/>
      <c r="L215" s="298"/>
      <c r="M215" s="298"/>
      <c r="N215" s="298"/>
      <c r="O215" s="298"/>
      <c r="P215" s="298"/>
      <c r="Q215" s="298"/>
      <c r="R215" s="298"/>
      <c r="T215" s="244"/>
      <c r="U215" s="244"/>
      <c r="V215" s="244"/>
      <c r="W215" s="244"/>
      <c r="X215" s="244"/>
      <c r="Y215" s="244"/>
      <c r="Z215" s="244"/>
      <c r="AA215" s="244"/>
      <c r="AB215" s="244"/>
      <c r="AC215" s="244"/>
      <c r="AD215" s="244"/>
      <c r="AE215" s="244"/>
      <c r="AF215" s="244"/>
      <c r="AG215" s="244"/>
      <c r="AH215" s="244"/>
      <c r="AI215" s="244"/>
      <c r="AJ215" s="244"/>
      <c r="AK215" s="244"/>
      <c r="AL215" s="244"/>
      <c r="AM215" s="244"/>
      <c r="AN215" s="244"/>
    </row>
    <row r="216" spans="1:40" x14ac:dyDescent="0.2">
      <c r="A216" s="298"/>
      <c r="B216" s="298"/>
      <c r="C216" s="298"/>
      <c r="D216" s="298"/>
      <c r="E216" s="298"/>
      <c r="F216" s="298"/>
      <c r="G216" s="298"/>
      <c r="H216" s="298"/>
      <c r="I216" s="298"/>
      <c r="J216" s="298"/>
      <c r="K216" s="298"/>
      <c r="L216" s="298"/>
      <c r="M216" s="298"/>
      <c r="N216" s="298"/>
      <c r="O216" s="298"/>
      <c r="P216" s="298"/>
      <c r="Q216" s="298"/>
      <c r="R216" s="298"/>
      <c r="T216" s="244"/>
      <c r="U216" s="244"/>
      <c r="V216" s="244"/>
      <c r="W216" s="244"/>
      <c r="X216" s="244"/>
      <c r="Y216" s="244"/>
      <c r="Z216" s="244"/>
      <c r="AA216" s="244"/>
      <c r="AB216" s="244"/>
      <c r="AC216" s="244"/>
      <c r="AD216" s="244"/>
      <c r="AE216" s="244"/>
      <c r="AF216" s="244"/>
      <c r="AG216" s="244"/>
      <c r="AH216" s="244"/>
      <c r="AI216" s="244"/>
      <c r="AJ216" s="244"/>
      <c r="AK216" s="244"/>
      <c r="AL216" s="244"/>
      <c r="AM216" s="244"/>
      <c r="AN216" s="244"/>
    </row>
    <row r="217" spans="1:40" x14ac:dyDescent="0.2">
      <c r="A217" s="298"/>
      <c r="B217" s="298"/>
      <c r="C217" s="298"/>
      <c r="D217" s="298"/>
      <c r="E217" s="298"/>
      <c r="F217" s="298"/>
      <c r="G217" s="298"/>
      <c r="H217" s="298"/>
      <c r="I217" s="298"/>
      <c r="J217" s="298"/>
      <c r="K217" s="298"/>
      <c r="L217" s="298"/>
      <c r="M217" s="298"/>
      <c r="N217" s="298"/>
      <c r="O217" s="298"/>
      <c r="P217" s="298"/>
      <c r="Q217" s="298"/>
      <c r="R217" s="298"/>
      <c r="T217" s="244"/>
      <c r="U217" s="244"/>
      <c r="V217" s="244"/>
      <c r="W217" s="244"/>
      <c r="X217" s="244"/>
      <c r="Y217" s="244"/>
      <c r="Z217" s="244"/>
      <c r="AA217" s="244"/>
      <c r="AB217" s="244"/>
      <c r="AC217" s="244"/>
      <c r="AD217" s="244"/>
      <c r="AE217" s="244"/>
      <c r="AF217" s="244"/>
      <c r="AG217" s="244"/>
      <c r="AH217" s="244"/>
      <c r="AI217" s="244"/>
      <c r="AJ217" s="244"/>
      <c r="AK217" s="244"/>
      <c r="AL217" s="244"/>
      <c r="AM217" s="244"/>
      <c r="AN217" s="244"/>
    </row>
    <row r="218" spans="1:40" x14ac:dyDescent="0.2">
      <c r="A218" s="298"/>
      <c r="B218" s="298"/>
      <c r="C218" s="298"/>
      <c r="D218" s="298"/>
      <c r="E218" s="298"/>
      <c r="F218" s="298"/>
      <c r="G218" s="298"/>
      <c r="H218" s="298"/>
      <c r="I218" s="298"/>
      <c r="J218" s="298"/>
      <c r="K218" s="298"/>
      <c r="L218" s="298"/>
      <c r="M218" s="298"/>
      <c r="N218" s="298"/>
      <c r="O218" s="298"/>
      <c r="P218" s="298"/>
      <c r="Q218" s="298"/>
      <c r="R218" s="298"/>
      <c r="T218" s="244"/>
      <c r="U218" s="244"/>
      <c r="V218" s="244"/>
      <c r="W218" s="244"/>
      <c r="X218" s="244"/>
      <c r="Y218" s="244"/>
      <c r="Z218" s="244"/>
      <c r="AA218" s="244"/>
      <c r="AB218" s="244"/>
      <c r="AC218" s="244"/>
      <c r="AD218" s="244"/>
      <c r="AE218" s="244"/>
      <c r="AF218" s="244"/>
      <c r="AG218" s="244"/>
      <c r="AH218" s="244"/>
      <c r="AI218" s="244"/>
      <c r="AJ218" s="244"/>
      <c r="AK218" s="244"/>
      <c r="AL218" s="244"/>
      <c r="AM218" s="244"/>
      <c r="AN218" s="244"/>
    </row>
    <row r="219" spans="1:40" x14ac:dyDescent="0.2">
      <c r="A219" s="298"/>
      <c r="B219" s="298"/>
      <c r="C219" s="298"/>
      <c r="D219" s="298"/>
      <c r="E219" s="298"/>
      <c r="F219" s="298"/>
      <c r="G219" s="298"/>
      <c r="H219" s="298"/>
      <c r="I219" s="298"/>
      <c r="J219" s="298"/>
      <c r="K219" s="298"/>
      <c r="L219" s="298"/>
      <c r="M219" s="298"/>
      <c r="N219" s="298"/>
      <c r="O219" s="298"/>
      <c r="P219" s="298"/>
      <c r="Q219" s="298"/>
      <c r="R219" s="298"/>
      <c r="T219" s="244"/>
      <c r="U219" s="244"/>
      <c r="V219" s="244"/>
      <c r="W219" s="244"/>
      <c r="X219" s="244"/>
      <c r="Y219" s="244"/>
      <c r="Z219" s="244"/>
      <c r="AA219" s="244"/>
      <c r="AB219" s="244"/>
      <c r="AC219" s="244"/>
      <c r="AD219" s="244"/>
      <c r="AE219" s="244"/>
      <c r="AF219" s="244"/>
      <c r="AG219" s="244"/>
      <c r="AH219" s="244"/>
      <c r="AI219" s="244"/>
      <c r="AJ219" s="244"/>
      <c r="AK219" s="244"/>
      <c r="AL219" s="244"/>
      <c r="AM219" s="244"/>
      <c r="AN219" s="244"/>
    </row>
    <row r="220" spans="1:40" x14ac:dyDescent="0.2">
      <c r="A220" s="298"/>
      <c r="B220" s="298"/>
      <c r="C220" s="298"/>
      <c r="D220" s="298"/>
      <c r="E220" s="298"/>
      <c r="F220" s="298"/>
      <c r="G220" s="298"/>
      <c r="H220" s="298"/>
      <c r="I220" s="298"/>
      <c r="J220" s="298"/>
      <c r="K220" s="298"/>
      <c r="L220" s="298"/>
      <c r="M220" s="298"/>
      <c r="N220" s="298"/>
      <c r="O220" s="298"/>
      <c r="P220" s="298"/>
      <c r="Q220" s="298"/>
      <c r="R220" s="298"/>
      <c r="T220" s="244"/>
      <c r="U220" s="244"/>
      <c r="V220" s="244"/>
      <c r="W220" s="244"/>
      <c r="X220" s="244"/>
      <c r="Y220" s="244"/>
      <c r="Z220" s="244"/>
      <c r="AA220" s="244"/>
      <c r="AB220" s="244"/>
      <c r="AC220" s="244"/>
      <c r="AD220" s="244"/>
      <c r="AE220" s="244"/>
      <c r="AF220" s="244"/>
      <c r="AG220" s="244"/>
      <c r="AH220" s="244"/>
      <c r="AI220" s="244"/>
      <c r="AJ220" s="244"/>
      <c r="AK220" s="244"/>
      <c r="AL220" s="244"/>
      <c r="AM220" s="244"/>
      <c r="AN220" s="244"/>
    </row>
    <row r="221" spans="1:40" x14ac:dyDescent="0.2">
      <c r="A221" s="298"/>
      <c r="B221" s="298"/>
      <c r="C221" s="298"/>
      <c r="D221" s="298"/>
      <c r="E221" s="298"/>
      <c r="F221" s="298"/>
      <c r="G221" s="298"/>
      <c r="H221" s="298"/>
      <c r="I221" s="298"/>
      <c r="J221" s="298"/>
      <c r="K221" s="298"/>
      <c r="L221" s="298"/>
      <c r="M221" s="298"/>
      <c r="N221" s="298"/>
      <c r="O221" s="298"/>
      <c r="P221" s="298"/>
      <c r="Q221" s="298"/>
      <c r="R221" s="298"/>
      <c r="T221" s="244"/>
      <c r="U221" s="244"/>
      <c r="V221" s="244"/>
      <c r="W221" s="244"/>
      <c r="X221" s="244"/>
      <c r="Y221" s="244"/>
      <c r="Z221" s="244"/>
      <c r="AA221" s="244"/>
      <c r="AB221" s="244"/>
      <c r="AC221" s="244"/>
      <c r="AD221" s="244"/>
      <c r="AE221" s="244"/>
      <c r="AF221" s="244"/>
      <c r="AG221" s="244"/>
      <c r="AH221" s="244"/>
      <c r="AI221" s="244"/>
      <c r="AJ221" s="244"/>
      <c r="AK221" s="244"/>
      <c r="AL221" s="244"/>
      <c r="AM221" s="244"/>
      <c r="AN221" s="244"/>
    </row>
    <row r="222" spans="1:40" x14ac:dyDescent="0.2">
      <c r="A222" s="298"/>
      <c r="B222" s="298"/>
      <c r="C222" s="298"/>
      <c r="D222" s="298"/>
      <c r="E222" s="298"/>
      <c r="F222" s="298"/>
      <c r="G222" s="298"/>
      <c r="H222" s="298"/>
      <c r="I222" s="298"/>
      <c r="J222" s="298"/>
      <c r="K222" s="298"/>
      <c r="L222" s="298"/>
      <c r="M222" s="298"/>
      <c r="N222" s="298"/>
      <c r="O222" s="298"/>
      <c r="P222" s="298"/>
      <c r="Q222" s="298"/>
      <c r="R222" s="298"/>
      <c r="T222" s="244"/>
      <c r="U222" s="244"/>
      <c r="V222" s="244"/>
      <c r="W222" s="244"/>
      <c r="X222" s="244"/>
      <c r="Y222" s="244"/>
      <c r="Z222" s="244"/>
      <c r="AA222" s="244"/>
      <c r="AB222" s="244"/>
      <c r="AC222" s="244"/>
      <c r="AD222" s="244"/>
      <c r="AE222" s="244"/>
      <c r="AF222" s="244"/>
      <c r="AG222" s="244"/>
      <c r="AH222" s="244"/>
      <c r="AI222" s="244"/>
      <c r="AJ222" s="244"/>
      <c r="AK222" s="244"/>
      <c r="AL222" s="244"/>
      <c r="AM222" s="244"/>
      <c r="AN222" s="244"/>
    </row>
    <row r="223" spans="1:40" x14ac:dyDescent="0.2">
      <c r="A223" s="298"/>
      <c r="B223" s="298"/>
      <c r="C223" s="298"/>
      <c r="D223" s="298"/>
      <c r="E223" s="298"/>
      <c r="F223" s="298"/>
      <c r="G223" s="298"/>
      <c r="H223" s="298"/>
      <c r="I223" s="298"/>
      <c r="J223" s="298"/>
      <c r="K223" s="298"/>
      <c r="L223" s="298"/>
      <c r="M223" s="298"/>
      <c r="N223" s="298"/>
      <c r="O223" s="298"/>
      <c r="P223" s="298"/>
      <c r="Q223" s="298"/>
      <c r="R223" s="298"/>
      <c r="T223" s="244"/>
      <c r="U223" s="244"/>
      <c r="V223" s="244"/>
      <c r="W223" s="244"/>
      <c r="X223" s="244"/>
      <c r="Y223" s="244"/>
      <c r="Z223" s="244"/>
      <c r="AA223" s="244"/>
      <c r="AB223" s="244"/>
      <c r="AC223" s="244"/>
      <c r="AD223" s="244"/>
      <c r="AE223" s="244"/>
      <c r="AF223" s="244"/>
      <c r="AG223" s="244"/>
      <c r="AH223" s="244"/>
      <c r="AI223" s="244"/>
      <c r="AJ223" s="244"/>
      <c r="AK223" s="244"/>
      <c r="AL223" s="244"/>
      <c r="AM223" s="244"/>
      <c r="AN223" s="244"/>
    </row>
    <row r="224" spans="1:40" x14ac:dyDescent="0.2">
      <c r="A224" s="298"/>
      <c r="B224" s="298"/>
      <c r="C224" s="298"/>
      <c r="D224" s="298"/>
      <c r="E224" s="298"/>
      <c r="F224" s="298"/>
      <c r="G224" s="298"/>
      <c r="H224" s="298"/>
      <c r="I224" s="298"/>
      <c r="J224" s="298"/>
      <c r="K224" s="298"/>
      <c r="L224" s="298"/>
      <c r="M224" s="298"/>
      <c r="N224" s="298"/>
      <c r="O224" s="298"/>
      <c r="P224" s="298"/>
      <c r="Q224" s="298"/>
      <c r="R224" s="298"/>
      <c r="T224" s="244"/>
      <c r="U224" s="244"/>
      <c r="V224" s="244"/>
      <c r="W224" s="244"/>
      <c r="X224" s="244"/>
      <c r="Y224" s="244"/>
      <c r="Z224" s="244"/>
      <c r="AA224" s="244"/>
      <c r="AB224" s="244"/>
      <c r="AC224" s="244"/>
      <c r="AD224" s="244"/>
      <c r="AE224" s="244"/>
      <c r="AF224" s="244"/>
      <c r="AG224" s="244"/>
      <c r="AH224" s="244"/>
      <c r="AI224" s="244"/>
      <c r="AJ224" s="244"/>
      <c r="AK224" s="244"/>
      <c r="AL224" s="244"/>
      <c r="AM224" s="244"/>
      <c r="AN224" s="244"/>
    </row>
    <row r="225" spans="1:40" x14ac:dyDescent="0.2">
      <c r="A225" s="298"/>
      <c r="B225" s="298"/>
      <c r="C225" s="298"/>
      <c r="D225" s="298"/>
      <c r="E225" s="298"/>
      <c r="F225" s="298"/>
      <c r="G225" s="298"/>
      <c r="H225" s="298"/>
      <c r="I225" s="298"/>
      <c r="J225" s="298"/>
      <c r="K225" s="298"/>
      <c r="L225" s="298"/>
      <c r="M225" s="298"/>
      <c r="N225" s="298"/>
      <c r="O225" s="298"/>
      <c r="P225" s="298"/>
      <c r="Q225" s="298"/>
      <c r="R225" s="298"/>
      <c r="T225" s="244"/>
      <c r="U225" s="244"/>
      <c r="V225" s="244"/>
      <c r="W225" s="244"/>
      <c r="X225" s="244"/>
      <c r="Y225" s="244"/>
      <c r="Z225" s="244"/>
      <c r="AA225" s="244"/>
      <c r="AB225" s="244"/>
      <c r="AC225" s="244"/>
      <c r="AD225" s="244"/>
      <c r="AE225" s="244"/>
      <c r="AF225" s="244"/>
      <c r="AG225" s="244"/>
      <c r="AH225" s="244"/>
      <c r="AI225" s="244"/>
      <c r="AJ225" s="244"/>
      <c r="AK225" s="244"/>
      <c r="AL225" s="244"/>
      <c r="AM225" s="244"/>
      <c r="AN225" s="244"/>
    </row>
    <row r="226" spans="1:40" x14ac:dyDescent="0.2">
      <c r="A226" s="298"/>
      <c r="B226" s="298"/>
      <c r="C226" s="298"/>
      <c r="D226" s="298"/>
      <c r="E226" s="298"/>
      <c r="F226" s="298"/>
      <c r="G226" s="298"/>
      <c r="H226" s="298"/>
      <c r="I226" s="298"/>
      <c r="J226" s="298"/>
      <c r="K226" s="298"/>
      <c r="L226" s="298"/>
      <c r="M226" s="298"/>
      <c r="N226" s="298"/>
      <c r="O226" s="298"/>
      <c r="P226" s="298"/>
      <c r="Q226" s="298"/>
      <c r="R226" s="298"/>
      <c r="T226" s="244"/>
      <c r="U226" s="244"/>
      <c r="V226" s="244"/>
      <c r="W226" s="244"/>
      <c r="X226" s="244"/>
      <c r="Y226" s="244"/>
      <c r="Z226" s="244"/>
      <c r="AA226" s="244"/>
      <c r="AB226" s="244"/>
      <c r="AC226" s="244"/>
      <c r="AD226" s="244"/>
      <c r="AE226" s="244"/>
      <c r="AF226" s="244"/>
      <c r="AG226" s="244"/>
      <c r="AH226" s="244"/>
      <c r="AI226" s="244"/>
      <c r="AJ226" s="244"/>
      <c r="AK226" s="244"/>
      <c r="AL226" s="244"/>
      <c r="AM226" s="244"/>
      <c r="AN226" s="244"/>
    </row>
    <row r="227" spans="1:40" x14ac:dyDescent="0.2">
      <c r="A227" s="298"/>
      <c r="B227" s="298"/>
      <c r="C227" s="298"/>
      <c r="D227" s="298"/>
      <c r="E227" s="298"/>
      <c r="F227" s="298"/>
      <c r="G227" s="298"/>
      <c r="H227" s="298"/>
      <c r="I227" s="298"/>
      <c r="J227" s="298"/>
      <c r="K227" s="298"/>
      <c r="L227" s="298"/>
      <c r="M227" s="298"/>
      <c r="N227" s="298"/>
      <c r="O227" s="298"/>
      <c r="P227" s="298"/>
      <c r="Q227" s="298"/>
      <c r="R227" s="298"/>
      <c r="T227" s="244"/>
      <c r="U227" s="244"/>
      <c r="V227" s="244"/>
      <c r="W227" s="244"/>
      <c r="X227" s="244"/>
      <c r="Y227" s="244"/>
      <c r="Z227" s="244"/>
      <c r="AA227" s="244"/>
      <c r="AB227" s="244"/>
      <c r="AC227" s="244"/>
      <c r="AD227" s="244"/>
      <c r="AE227" s="244"/>
      <c r="AF227" s="244"/>
      <c r="AG227" s="244"/>
      <c r="AH227" s="244"/>
      <c r="AI227" s="244"/>
      <c r="AJ227" s="244"/>
      <c r="AK227" s="244"/>
      <c r="AL227" s="244"/>
      <c r="AM227" s="244"/>
      <c r="AN227" s="244"/>
    </row>
    <row r="228" spans="1:40" x14ac:dyDescent="0.2">
      <c r="A228" s="298"/>
      <c r="B228" s="298"/>
      <c r="C228" s="298"/>
      <c r="D228" s="298"/>
      <c r="E228" s="298"/>
      <c r="F228" s="298"/>
      <c r="G228" s="298"/>
      <c r="H228" s="298"/>
      <c r="I228" s="298"/>
      <c r="J228" s="298"/>
      <c r="K228" s="298"/>
      <c r="L228" s="298"/>
      <c r="M228" s="298"/>
      <c r="N228" s="298"/>
      <c r="O228" s="298"/>
      <c r="P228" s="298"/>
      <c r="Q228" s="298"/>
      <c r="R228" s="298"/>
      <c r="T228" s="244"/>
      <c r="U228" s="244"/>
      <c r="V228" s="244"/>
      <c r="W228" s="244"/>
      <c r="X228" s="244"/>
      <c r="Y228" s="244"/>
      <c r="Z228" s="244"/>
      <c r="AA228" s="244"/>
      <c r="AB228" s="244"/>
      <c r="AC228" s="244"/>
      <c r="AD228" s="244"/>
      <c r="AE228" s="244"/>
      <c r="AF228" s="244"/>
      <c r="AG228" s="244"/>
      <c r="AH228" s="244"/>
      <c r="AI228" s="244"/>
      <c r="AJ228" s="244"/>
      <c r="AK228" s="244"/>
      <c r="AL228" s="244"/>
      <c r="AM228" s="244"/>
      <c r="AN228" s="244"/>
    </row>
    <row r="229" spans="1:40" x14ac:dyDescent="0.2">
      <c r="A229" s="298"/>
      <c r="B229" s="298"/>
      <c r="C229" s="298"/>
      <c r="D229" s="298"/>
      <c r="E229" s="298"/>
      <c r="F229" s="298"/>
      <c r="G229" s="298"/>
      <c r="H229" s="298"/>
      <c r="I229" s="298"/>
      <c r="J229" s="298"/>
      <c r="K229" s="298"/>
      <c r="L229" s="298"/>
      <c r="M229" s="298"/>
      <c r="N229" s="298"/>
      <c r="O229" s="298"/>
      <c r="P229" s="298"/>
      <c r="Q229" s="298"/>
      <c r="R229" s="298"/>
      <c r="T229" s="244"/>
      <c r="U229" s="244"/>
      <c r="V229" s="244"/>
      <c r="W229" s="244"/>
      <c r="X229" s="244"/>
      <c r="Y229" s="244"/>
      <c r="Z229" s="244"/>
      <c r="AA229" s="244"/>
      <c r="AB229" s="244"/>
      <c r="AC229" s="244"/>
      <c r="AD229" s="244"/>
      <c r="AE229" s="244"/>
      <c r="AF229" s="244"/>
      <c r="AG229" s="244"/>
      <c r="AH229" s="244"/>
      <c r="AI229" s="244"/>
      <c r="AJ229" s="244"/>
      <c r="AK229" s="244"/>
      <c r="AL229" s="244"/>
      <c r="AM229" s="244"/>
      <c r="AN229" s="244"/>
    </row>
    <row r="230" spans="1:40" x14ac:dyDescent="0.2">
      <c r="A230" s="298"/>
      <c r="B230" s="298"/>
      <c r="C230" s="298"/>
      <c r="D230" s="298"/>
      <c r="E230" s="298"/>
      <c r="F230" s="298"/>
      <c r="G230" s="298"/>
      <c r="H230" s="298"/>
      <c r="I230" s="298"/>
      <c r="J230" s="298"/>
      <c r="K230" s="298"/>
      <c r="L230" s="298"/>
      <c r="M230" s="298"/>
      <c r="N230" s="298"/>
      <c r="O230" s="298"/>
      <c r="P230" s="298"/>
      <c r="Q230" s="298"/>
      <c r="R230" s="298"/>
      <c r="T230" s="244"/>
      <c r="U230" s="244"/>
      <c r="V230" s="244"/>
      <c r="W230" s="244"/>
      <c r="X230" s="244"/>
      <c r="Y230" s="244"/>
      <c r="Z230" s="244"/>
      <c r="AA230" s="244"/>
      <c r="AB230" s="244"/>
      <c r="AC230" s="244"/>
      <c r="AD230" s="244"/>
      <c r="AE230" s="244"/>
      <c r="AF230" s="244"/>
      <c r="AG230" s="244"/>
      <c r="AH230" s="244"/>
      <c r="AI230" s="244"/>
      <c r="AJ230" s="244"/>
      <c r="AK230" s="244"/>
      <c r="AL230" s="244"/>
      <c r="AM230" s="244"/>
      <c r="AN230" s="244"/>
    </row>
    <row r="231" spans="1:40" x14ac:dyDescent="0.2">
      <c r="A231" s="298"/>
      <c r="B231" s="298"/>
      <c r="C231" s="298"/>
      <c r="D231" s="298"/>
      <c r="E231" s="298"/>
      <c r="F231" s="298"/>
      <c r="G231" s="298"/>
      <c r="H231" s="298"/>
      <c r="I231" s="298"/>
      <c r="J231" s="298"/>
      <c r="K231" s="298"/>
      <c r="L231" s="298"/>
      <c r="M231" s="298"/>
      <c r="N231" s="298"/>
      <c r="O231" s="298"/>
      <c r="P231" s="298"/>
      <c r="Q231" s="298"/>
      <c r="R231" s="298"/>
      <c r="T231" s="244"/>
      <c r="U231" s="244"/>
      <c r="V231" s="244"/>
      <c r="W231" s="244"/>
      <c r="X231" s="244"/>
      <c r="Y231" s="244"/>
      <c r="Z231" s="244"/>
      <c r="AA231" s="244"/>
      <c r="AB231" s="244"/>
      <c r="AC231" s="244"/>
      <c r="AD231" s="244"/>
      <c r="AE231" s="244"/>
      <c r="AF231" s="244"/>
      <c r="AG231" s="244"/>
      <c r="AH231" s="244"/>
      <c r="AI231" s="244"/>
      <c r="AJ231" s="244"/>
      <c r="AK231" s="244"/>
      <c r="AL231" s="244"/>
      <c r="AM231" s="244"/>
      <c r="AN231" s="244"/>
    </row>
    <row r="232" spans="1:40" x14ac:dyDescent="0.2">
      <c r="A232" s="298"/>
      <c r="B232" s="298"/>
      <c r="C232" s="298"/>
      <c r="D232" s="298"/>
      <c r="E232" s="298"/>
      <c r="F232" s="298"/>
      <c r="G232" s="298"/>
      <c r="H232" s="298"/>
      <c r="I232" s="298"/>
      <c r="J232" s="298"/>
      <c r="K232" s="298"/>
      <c r="L232" s="298"/>
      <c r="M232" s="298"/>
      <c r="N232" s="298"/>
      <c r="O232" s="298"/>
      <c r="P232" s="298"/>
      <c r="Q232" s="298"/>
      <c r="R232" s="298"/>
      <c r="T232" s="244"/>
      <c r="U232" s="244"/>
      <c r="V232" s="244"/>
      <c r="W232" s="244"/>
      <c r="X232" s="244"/>
      <c r="Y232" s="244"/>
      <c r="Z232" s="244"/>
      <c r="AA232" s="244"/>
      <c r="AB232" s="244"/>
      <c r="AC232" s="244"/>
      <c r="AD232" s="244"/>
      <c r="AE232" s="244"/>
      <c r="AF232" s="244"/>
      <c r="AG232" s="244"/>
      <c r="AH232" s="244"/>
      <c r="AI232" s="244"/>
      <c r="AJ232" s="244"/>
      <c r="AK232" s="244"/>
      <c r="AL232" s="244"/>
      <c r="AM232" s="244"/>
      <c r="AN232" s="244"/>
    </row>
    <row r="233" spans="1:40" x14ac:dyDescent="0.2">
      <c r="A233" s="298"/>
      <c r="B233" s="298"/>
      <c r="C233" s="298"/>
      <c r="D233" s="298"/>
      <c r="E233" s="298"/>
      <c r="F233" s="298"/>
      <c r="G233" s="298"/>
      <c r="H233" s="298"/>
      <c r="I233" s="298"/>
      <c r="J233" s="298"/>
      <c r="K233" s="298"/>
      <c r="L233" s="298"/>
      <c r="M233" s="298"/>
      <c r="N233" s="298"/>
      <c r="O233" s="298"/>
      <c r="P233" s="298"/>
      <c r="Q233" s="298"/>
      <c r="R233" s="298"/>
      <c r="T233" s="244"/>
      <c r="U233" s="244"/>
      <c r="V233" s="244"/>
      <c r="W233" s="244"/>
      <c r="X233" s="244"/>
      <c r="Y233" s="244"/>
      <c r="Z233" s="244"/>
      <c r="AA233" s="244"/>
      <c r="AB233" s="244"/>
      <c r="AC233" s="244"/>
      <c r="AD233" s="244"/>
      <c r="AE233" s="244"/>
      <c r="AF233" s="244"/>
      <c r="AG233" s="244"/>
      <c r="AH233" s="244"/>
      <c r="AI233" s="244"/>
      <c r="AJ233" s="244"/>
      <c r="AK233" s="244"/>
      <c r="AL233" s="244"/>
      <c r="AM233" s="244"/>
      <c r="AN233" s="244"/>
    </row>
    <row r="234" spans="1:40" x14ac:dyDescent="0.2">
      <c r="A234" s="298"/>
      <c r="B234" s="298"/>
      <c r="C234" s="298"/>
      <c r="D234" s="298"/>
      <c r="E234" s="298"/>
      <c r="F234" s="298"/>
      <c r="G234" s="298"/>
      <c r="H234" s="298"/>
      <c r="I234" s="298"/>
      <c r="J234" s="298"/>
      <c r="K234" s="298"/>
      <c r="L234" s="298"/>
      <c r="M234" s="298"/>
      <c r="N234" s="298"/>
      <c r="O234" s="298"/>
      <c r="P234" s="298"/>
      <c r="Q234" s="298"/>
      <c r="R234" s="298"/>
      <c r="T234" s="244"/>
      <c r="U234" s="244"/>
      <c r="V234" s="244"/>
      <c r="W234" s="244"/>
      <c r="X234" s="244"/>
      <c r="Y234" s="244"/>
      <c r="Z234" s="244"/>
      <c r="AA234" s="244"/>
      <c r="AB234" s="244"/>
      <c r="AC234" s="244"/>
      <c r="AD234" s="244"/>
      <c r="AE234" s="244"/>
      <c r="AF234" s="244"/>
      <c r="AG234" s="244"/>
      <c r="AH234" s="244"/>
      <c r="AI234" s="244"/>
      <c r="AJ234" s="244"/>
      <c r="AK234" s="244"/>
      <c r="AL234" s="244"/>
      <c r="AM234" s="244"/>
      <c r="AN234" s="244"/>
    </row>
    <row r="235" spans="1:40" x14ac:dyDescent="0.2">
      <c r="A235" s="298"/>
      <c r="B235" s="298"/>
      <c r="C235" s="298"/>
      <c r="D235" s="298"/>
      <c r="E235" s="298"/>
      <c r="F235" s="298"/>
      <c r="G235" s="298"/>
      <c r="H235" s="298"/>
      <c r="I235" s="298"/>
      <c r="J235" s="298"/>
      <c r="K235" s="298"/>
      <c r="L235" s="298"/>
      <c r="M235" s="298"/>
      <c r="N235" s="298"/>
      <c r="O235" s="298"/>
      <c r="P235" s="298"/>
      <c r="Q235" s="298"/>
      <c r="R235" s="298"/>
      <c r="T235" s="244"/>
      <c r="U235" s="244"/>
      <c r="V235" s="244"/>
      <c r="W235" s="244"/>
      <c r="X235" s="244"/>
      <c r="Y235" s="244"/>
      <c r="Z235" s="244"/>
      <c r="AA235" s="244"/>
      <c r="AB235" s="244"/>
      <c r="AC235" s="244"/>
      <c r="AD235" s="244"/>
      <c r="AE235" s="244"/>
      <c r="AF235" s="244"/>
      <c r="AG235" s="244"/>
      <c r="AH235" s="244"/>
      <c r="AI235" s="244"/>
      <c r="AJ235" s="244"/>
      <c r="AK235" s="244"/>
      <c r="AL235" s="244"/>
      <c r="AM235" s="244"/>
      <c r="AN235" s="244"/>
    </row>
    <row r="236" spans="1:40" x14ac:dyDescent="0.2">
      <c r="A236" s="298"/>
      <c r="B236" s="298"/>
      <c r="C236" s="298"/>
      <c r="D236" s="298"/>
      <c r="E236" s="298"/>
      <c r="F236" s="298"/>
      <c r="G236" s="298"/>
      <c r="H236" s="298"/>
      <c r="I236" s="298"/>
      <c r="J236" s="298"/>
      <c r="K236" s="298"/>
      <c r="L236" s="298"/>
      <c r="M236" s="298"/>
      <c r="N236" s="298"/>
      <c r="O236" s="298"/>
      <c r="P236" s="298"/>
      <c r="Q236" s="298"/>
      <c r="R236" s="298"/>
      <c r="T236" s="244"/>
      <c r="U236" s="244"/>
      <c r="V236" s="244"/>
      <c r="W236" s="244"/>
      <c r="X236" s="244"/>
      <c r="Y236" s="244"/>
      <c r="Z236" s="244"/>
      <c r="AA236" s="244"/>
      <c r="AB236" s="244"/>
      <c r="AC236" s="244"/>
      <c r="AD236" s="244"/>
      <c r="AE236" s="244"/>
      <c r="AF236" s="244"/>
      <c r="AG236" s="244"/>
      <c r="AH236" s="244"/>
      <c r="AI236" s="244"/>
      <c r="AJ236" s="244"/>
      <c r="AK236" s="244"/>
      <c r="AL236" s="244"/>
      <c r="AM236" s="244"/>
      <c r="AN236" s="244"/>
    </row>
    <row r="237" spans="1:40" x14ac:dyDescent="0.2">
      <c r="A237" s="298"/>
      <c r="B237" s="298"/>
      <c r="C237" s="298"/>
      <c r="D237" s="298"/>
      <c r="E237" s="298"/>
      <c r="F237" s="298"/>
      <c r="G237" s="298"/>
      <c r="H237" s="298"/>
      <c r="I237" s="298"/>
      <c r="J237" s="298"/>
      <c r="K237" s="298"/>
      <c r="L237" s="298"/>
      <c r="M237" s="298"/>
      <c r="N237" s="298"/>
      <c r="O237" s="298"/>
      <c r="P237" s="298"/>
      <c r="Q237" s="298"/>
      <c r="R237" s="298"/>
      <c r="T237" s="244"/>
      <c r="U237" s="244"/>
      <c r="V237" s="244"/>
      <c r="W237" s="244"/>
      <c r="X237" s="244"/>
      <c r="Y237" s="244"/>
      <c r="Z237" s="244"/>
      <c r="AA237" s="244"/>
      <c r="AB237" s="244"/>
      <c r="AC237" s="244"/>
      <c r="AD237" s="244"/>
      <c r="AE237" s="244"/>
      <c r="AF237" s="244"/>
      <c r="AG237" s="244"/>
      <c r="AH237" s="244"/>
      <c r="AI237" s="244"/>
      <c r="AJ237" s="244"/>
      <c r="AK237" s="244"/>
      <c r="AL237" s="244"/>
      <c r="AM237" s="244"/>
      <c r="AN237" s="244"/>
    </row>
    <row r="238" spans="1:40" x14ac:dyDescent="0.2">
      <c r="A238" s="298"/>
      <c r="B238" s="298"/>
      <c r="C238" s="298"/>
      <c r="D238" s="298"/>
      <c r="E238" s="298"/>
      <c r="F238" s="298"/>
      <c r="G238" s="298"/>
      <c r="H238" s="298"/>
      <c r="I238" s="298"/>
      <c r="J238" s="298"/>
      <c r="K238" s="298"/>
      <c r="L238" s="298"/>
      <c r="M238" s="298"/>
      <c r="N238" s="298"/>
      <c r="O238" s="298"/>
      <c r="P238" s="298"/>
      <c r="Q238" s="298"/>
      <c r="R238" s="298"/>
      <c r="T238" s="244"/>
      <c r="U238" s="244"/>
      <c r="V238" s="244"/>
      <c r="W238" s="244"/>
      <c r="X238" s="244"/>
      <c r="Y238" s="244"/>
      <c r="Z238" s="244"/>
      <c r="AA238" s="244"/>
      <c r="AB238" s="244"/>
      <c r="AC238" s="244"/>
      <c r="AD238" s="244"/>
      <c r="AE238" s="244"/>
      <c r="AF238" s="244"/>
      <c r="AG238" s="244"/>
      <c r="AH238" s="244"/>
      <c r="AI238" s="244"/>
      <c r="AJ238" s="244"/>
      <c r="AK238" s="244"/>
      <c r="AL238" s="244"/>
      <c r="AM238" s="244"/>
      <c r="AN238" s="244"/>
    </row>
    <row r="239" spans="1:40" x14ac:dyDescent="0.2">
      <c r="A239" s="298"/>
      <c r="B239" s="298"/>
      <c r="C239" s="298"/>
      <c r="D239" s="298"/>
      <c r="E239" s="298"/>
      <c r="F239" s="298"/>
      <c r="G239" s="298"/>
      <c r="H239" s="298"/>
      <c r="I239" s="298"/>
      <c r="J239" s="298"/>
      <c r="K239" s="298"/>
      <c r="L239" s="298"/>
      <c r="M239" s="298"/>
      <c r="N239" s="298"/>
      <c r="O239" s="298"/>
      <c r="P239" s="298"/>
      <c r="Q239" s="298"/>
      <c r="R239" s="298"/>
      <c r="T239" s="244"/>
      <c r="U239" s="244"/>
      <c r="V239" s="244"/>
      <c r="W239" s="244"/>
      <c r="X239" s="244"/>
      <c r="Y239" s="244"/>
      <c r="Z239" s="244"/>
      <c r="AA239" s="244"/>
      <c r="AB239" s="244"/>
      <c r="AC239" s="244"/>
      <c r="AD239" s="244"/>
      <c r="AE239" s="244"/>
      <c r="AF239" s="244"/>
      <c r="AG239" s="244"/>
      <c r="AH239" s="244"/>
      <c r="AI239" s="244"/>
      <c r="AJ239" s="244"/>
      <c r="AK239" s="244"/>
      <c r="AL239" s="244"/>
      <c r="AM239" s="244"/>
      <c r="AN239" s="244"/>
    </row>
    <row r="240" spans="1:40" x14ac:dyDescent="0.2">
      <c r="A240" s="298"/>
      <c r="B240" s="298"/>
      <c r="C240" s="298"/>
      <c r="D240" s="298"/>
      <c r="E240" s="298"/>
      <c r="F240" s="298"/>
      <c r="G240" s="298"/>
      <c r="H240" s="298"/>
      <c r="I240" s="298"/>
      <c r="J240" s="298"/>
      <c r="K240" s="298"/>
      <c r="L240" s="298"/>
      <c r="M240" s="298"/>
      <c r="N240" s="298"/>
      <c r="O240" s="298"/>
      <c r="P240" s="298"/>
      <c r="Q240" s="298"/>
      <c r="R240" s="298"/>
      <c r="T240" s="244"/>
      <c r="U240" s="244"/>
      <c r="V240" s="244"/>
      <c r="W240" s="244"/>
      <c r="X240" s="244"/>
      <c r="Y240" s="244"/>
      <c r="Z240" s="244"/>
      <c r="AA240" s="244"/>
      <c r="AB240" s="244"/>
      <c r="AC240" s="244"/>
      <c r="AD240" s="244"/>
      <c r="AE240" s="244"/>
      <c r="AF240" s="244"/>
      <c r="AG240" s="244"/>
      <c r="AH240" s="244"/>
      <c r="AI240" s="244"/>
      <c r="AJ240" s="244"/>
      <c r="AK240" s="244"/>
      <c r="AL240" s="244"/>
      <c r="AM240" s="244"/>
      <c r="AN240" s="244"/>
    </row>
    <row r="241" spans="1:40" x14ac:dyDescent="0.2">
      <c r="A241" s="298"/>
      <c r="B241" s="298"/>
      <c r="C241" s="298"/>
      <c r="D241" s="298"/>
      <c r="E241" s="298"/>
      <c r="F241" s="298"/>
      <c r="G241" s="298"/>
      <c r="H241" s="298"/>
      <c r="I241" s="298"/>
      <c r="J241" s="298"/>
      <c r="K241" s="298"/>
      <c r="L241" s="298"/>
      <c r="M241" s="298"/>
      <c r="N241" s="298"/>
      <c r="O241" s="298"/>
      <c r="P241" s="298"/>
      <c r="Q241" s="298"/>
      <c r="R241" s="298"/>
      <c r="T241" s="244"/>
      <c r="U241" s="244"/>
      <c r="V241" s="244"/>
      <c r="W241" s="244"/>
      <c r="X241" s="244"/>
      <c r="Y241" s="244"/>
      <c r="Z241" s="244"/>
      <c r="AA241" s="244"/>
      <c r="AB241" s="244"/>
      <c r="AC241" s="244"/>
      <c r="AD241" s="244"/>
      <c r="AE241" s="244"/>
      <c r="AF241" s="244"/>
      <c r="AG241" s="244"/>
      <c r="AH241" s="244"/>
      <c r="AI241" s="244"/>
      <c r="AJ241" s="244"/>
      <c r="AK241" s="244"/>
      <c r="AL241" s="244"/>
      <c r="AM241" s="244"/>
      <c r="AN241" s="244"/>
    </row>
    <row r="242" spans="1:40" x14ac:dyDescent="0.2">
      <c r="A242" s="298"/>
      <c r="B242" s="298"/>
      <c r="C242" s="298"/>
      <c r="D242" s="298"/>
      <c r="E242" s="298"/>
      <c r="F242" s="298"/>
      <c r="G242" s="298"/>
      <c r="H242" s="298"/>
      <c r="I242" s="298"/>
      <c r="J242" s="298"/>
      <c r="K242" s="298"/>
      <c r="L242" s="298"/>
      <c r="M242" s="298"/>
      <c r="N242" s="298"/>
      <c r="O242" s="298"/>
      <c r="P242" s="298"/>
      <c r="Q242" s="298"/>
      <c r="R242" s="298"/>
      <c r="T242" s="244"/>
      <c r="U242" s="244"/>
      <c r="V242" s="244"/>
      <c r="W242" s="244"/>
      <c r="X242" s="244"/>
      <c r="Y242" s="244"/>
      <c r="Z242" s="244"/>
      <c r="AA242" s="244"/>
      <c r="AB242" s="244"/>
      <c r="AC242" s="244"/>
      <c r="AD242" s="244"/>
      <c r="AE242" s="244"/>
      <c r="AF242" s="244"/>
      <c r="AG242" s="244"/>
      <c r="AH242" s="244"/>
      <c r="AI242" s="244"/>
      <c r="AJ242" s="244"/>
      <c r="AK242" s="244"/>
      <c r="AL242" s="244"/>
      <c r="AM242" s="244"/>
      <c r="AN242" s="244"/>
    </row>
    <row r="243" spans="1:40" x14ac:dyDescent="0.2">
      <c r="A243" s="298"/>
      <c r="B243" s="298"/>
      <c r="C243" s="298"/>
      <c r="D243" s="298"/>
      <c r="E243" s="298"/>
      <c r="F243" s="298"/>
      <c r="G243" s="298"/>
      <c r="H243" s="298"/>
      <c r="I243" s="298"/>
      <c r="J243" s="298"/>
      <c r="K243" s="298"/>
      <c r="L243" s="298"/>
      <c r="M243" s="298"/>
      <c r="N243" s="298"/>
      <c r="O243" s="298"/>
      <c r="P243" s="298"/>
      <c r="Q243" s="298"/>
      <c r="R243" s="298"/>
      <c r="T243" s="244"/>
      <c r="U243" s="244"/>
      <c r="V243" s="244"/>
      <c r="W243" s="244"/>
      <c r="X243" s="244"/>
      <c r="Y243" s="244"/>
      <c r="Z243" s="244"/>
      <c r="AA243" s="244"/>
      <c r="AB243" s="244"/>
      <c r="AC243" s="244"/>
      <c r="AD243" s="244"/>
      <c r="AE243" s="244"/>
      <c r="AF243" s="244"/>
      <c r="AG243" s="244"/>
      <c r="AH243" s="244"/>
      <c r="AI243" s="244"/>
      <c r="AJ243" s="244"/>
      <c r="AK243" s="244"/>
      <c r="AL243" s="244"/>
      <c r="AM243" s="244"/>
      <c r="AN243" s="244"/>
    </row>
    <row r="244" spans="1:40" x14ac:dyDescent="0.2">
      <c r="A244" s="298"/>
      <c r="B244" s="298"/>
      <c r="C244" s="298"/>
      <c r="D244" s="298"/>
      <c r="E244" s="298"/>
      <c r="F244" s="298"/>
      <c r="G244" s="298"/>
      <c r="H244" s="298"/>
      <c r="I244" s="298"/>
      <c r="J244" s="298"/>
      <c r="K244" s="298"/>
      <c r="L244" s="298"/>
      <c r="M244" s="298"/>
      <c r="N244" s="298"/>
      <c r="O244" s="298"/>
      <c r="P244" s="298"/>
      <c r="Q244" s="298"/>
      <c r="R244" s="298"/>
      <c r="T244" s="244"/>
      <c r="U244" s="244"/>
      <c r="V244" s="244"/>
      <c r="W244" s="244"/>
      <c r="X244" s="244"/>
      <c r="Y244" s="244"/>
      <c r="Z244" s="244"/>
      <c r="AA244" s="244"/>
      <c r="AB244" s="244"/>
      <c r="AC244" s="244"/>
      <c r="AD244" s="244"/>
      <c r="AE244" s="244"/>
      <c r="AF244" s="244"/>
      <c r="AG244" s="244"/>
      <c r="AH244" s="244"/>
      <c r="AI244" s="244"/>
      <c r="AJ244" s="244"/>
      <c r="AK244" s="244"/>
      <c r="AL244" s="244"/>
      <c r="AM244" s="244"/>
      <c r="AN244" s="244"/>
    </row>
    <row r="245" spans="1:40" x14ac:dyDescent="0.2">
      <c r="A245" s="298"/>
      <c r="B245" s="298"/>
      <c r="C245" s="298"/>
      <c r="D245" s="298"/>
      <c r="E245" s="298"/>
      <c r="F245" s="298"/>
      <c r="G245" s="298"/>
      <c r="H245" s="298"/>
      <c r="I245" s="298"/>
      <c r="J245" s="298"/>
      <c r="K245" s="298"/>
      <c r="L245" s="298"/>
      <c r="M245" s="298"/>
      <c r="N245" s="298"/>
      <c r="O245" s="298"/>
      <c r="P245" s="298"/>
      <c r="Q245" s="298"/>
      <c r="R245" s="298"/>
      <c r="T245" s="244"/>
      <c r="U245" s="244"/>
      <c r="V245" s="244"/>
      <c r="W245" s="244"/>
      <c r="X245" s="244"/>
      <c r="Y245" s="244"/>
      <c r="Z245" s="244"/>
      <c r="AA245" s="244"/>
      <c r="AB245" s="244"/>
      <c r="AC245" s="244"/>
      <c r="AD245" s="244"/>
      <c r="AE245" s="244"/>
      <c r="AF245" s="244"/>
      <c r="AG245" s="244"/>
      <c r="AH245" s="244"/>
      <c r="AI245" s="244"/>
      <c r="AJ245" s="244"/>
      <c r="AK245" s="244"/>
      <c r="AL245" s="244"/>
      <c r="AM245" s="244"/>
      <c r="AN245" s="244"/>
    </row>
    <row r="246" spans="1:40" x14ac:dyDescent="0.2">
      <c r="A246" s="298"/>
      <c r="B246" s="298"/>
      <c r="C246" s="298"/>
      <c r="D246" s="298"/>
      <c r="E246" s="298"/>
      <c r="F246" s="298"/>
      <c r="G246" s="298"/>
      <c r="H246" s="298"/>
      <c r="I246" s="298"/>
      <c r="J246" s="298"/>
      <c r="K246" s="298"/>
      <c r="L246" s="298"/>
      <c r="M246" s="298"/>
      <c r="N246" s="298"/>
      <c r="O246" s="298"/>
      <c r="P246" s="298"/>
      <c r="Q246" s="298"/>
      <c r="R246" s="298"/>
      <c r="T246" s="244"/>
      <c r="U246" s="244"/>
      <c r="V246" s="244"/>
      <c r="W246" s="244"/>
      <c r="X246" s="244"/>
      <c r="Y246" s="244"/>
      <c r="Z246" s="244"/>
      <c r="AA246" s="244"/>
      <c r="AB246" s="244"/>
      <c r="AC246" s="244"/>
      <c r="AD246" s="244"/>
      <c r="AE246" s="244"/>
      <c r="AF246" s="244"/>
      <c r="AG246" s="244"/>
      <c r="AH246" s="244"/>
      <c r="AI246" s="244"/>
      <c r="AJ246" s="244"/>
      <c r="AK246" s="244"/>
      <c r="AL246" s="244"/>
      <c r="AM246" s="244"/>
      <c r="AN246" s="244"/>
    </row>
    <row r="247" spans="1:40" x14ac:dyDescent="0.2">
      <c r="A247" s="298"/>
      <c r="B247" s="298"/>
      <c r="C247" s="298"/>
      <c r="D247" s="298"/>
      <c r="E247" s="298"/>
      <c r="F247" s="298"/>
      <c r="G247" s="298"/>
      <c r="H247" s="298"/>
      <c r="I247" s="298"/>
      <c r="J247" s="298"/>
      <c r="K247" s="298"/>
      <c r="L247" s="298"/>
      <c r="M247" s="298"/>
      <c r="N247" s="298"/>
      <c r="O247" s="298"/>
      <c r="P247" s="298"/>
      <c r="Q247" s="298"/>
      <c r="R247" s="298"/>
      <c r="T247" s="244"/>
      <c r="U247" s="244"/>
      <c r="V247" s="244"/>
      <c r="W247" s="244"/>
      <c r="X247" s="244"/>
      <c r="Y247" s="244"/>
      <c r="Z247" s="244"/>
      <c r="AA247" s="244"/>
      <c r="AB247" s="244"/>
      <c r="AC247" s="244"/>
      <c r="AD247" s="244"/>
      <c r="AE247" s="244"/>
      <c r="AF247" s="244"/>
      <c r="AG247" s="244"/>
      <c r="AH247" s="244"/>
      <c r="AI247" s="244"/>
      <c r="AJ247" s="244"/>
      <c r="AK247" s="244"/>
      <c r="AL247" s="244"/>
      <c r="AM247" s="244"/>
      <c r="AN247" s="244"/>
    </row>
    <row r="248" spans="1:40" x14ac:dyDescent="0.2">
      <c r="A248" s="298"/>
      <c r="B248" s="298"/>
      <c r="C248" s="298"/>
      <c r="D248" s="298"/>
      <c r="E248" s="298"/>
      <c r="F248" s="298"/>
      <c r="G248" s="298"/>
      <c r="H248" s="298"/>
      <c r="I248" s="298"/>
      <c r="J248" s="298"/>
      <c r="K248" s="298"/>
      <c r="L248" s="298"/>
      <c r="M248" s="298"/>
      <c r="N248" s="298"/>
      <c r="O248" s="298"/>
      <c r="P248" s="298"/>
      <c r="Q248" s="298"/>
      <c r="R248" s="298"/>
      <c r="T248" s="244"/>
      <c r="U248" s="244"/>
      <c r="V248" s="244"/>
      <c r="W248" s="244"/>
      <c r="X248" s="244"/>
      <c r="Y248" s="244"/>
      <c r="Z248" s="244"/>
      <c r="AA248" s="244"/>
      <c r="AB248" s="244"/>
      <c r="AC248" s="244"/>
      <c r="AD248" s="244"/>
      <c r="AE248" s="244"/>
      <c r="AF248" s="244"/>
      <c r="AG248" s="244"/>
      <c r="AH248" s="244"/>
      <c r="AI248" s="244"/>
      <c r="AJ248" s="244"/>
      <c r="AK248" s="244"/>
      <c r="AL248" s="244"/>
      <c r="AM248" s="244"/>
      <c r="AN248" s="244"/>
    </row>
    <row r="249" spans="1:40" x14ac:dyDescent="0.2">
      <c r="A249" s="298"/>
      <c r="B249" s="298"/>
      <c r="C249" s="298"/>
      <c r="D249" s="298"/>
      <c r="E249" s="298"/>
      <c r="F249" s="298"/>
      <c r="G249" s="298"/>
      <c r="H249" s="298"/>
      <c r="I249" s="298"/>
      <c r="J249" s="298"/>
      <c r="K249" s="298"/>
      <c r="L249" s="298"/>
      <c r="M249" s="298"/>
      <c r="N249" s="298"/>
      <c r="O249" s="298"/>
      <c r="P249" s="298"/>
      <c r="Q249" s="298"/>
      <c r="R249" s="298"/>
      <c r="T249" s="244"/>
      <c r="U249" s="244"/>
      <c r="V249" s="244"/>
      <c r="W249" s="244"/>
      <c r="X249" s="244"/>
      <c r="Y249" s="244"/>
      <c r="Z249" s="244"/>
      <c r="AA249" s="244"/>
      <c r="AB249" s="244"/>
      <c r="AC249" s="244"/>
      <c r="AD249" s="244"/>
      <c r="AE249" s="244"/>
      <c r="AF249" s="244"/>
      <c r="AG249" s="244"/>
      <c r="AH249" s="244"/>
      <c r="AI249" s="244"/>
      <c r="AJ249" s="244"/>
      <c r="AK249" s="244"/>
      <c r="AL249" s="244"/>
      <c r="AM249" s="244"/>
      <c r="AN249" s="244"/>
    </row>
    <row r="250" spans="1:40" x14ac:dyDescent="0.2">
      <c r="A250" s="298"/>
      <c r="B250" s="298"/>
      <c r="C250" s="298"/>
      <c r="D250" s="298"/>
      <c r="E250" s="298"/>
      <c r="F250" s="298"/>
      <c r="G250" s="298"/>
      <c r="H250" s="298"/>
      <c r="I250" s="298"/>
      <c r="J250" s="298"/>
      <c r="K250" s="298"/>
      <c r="L250" s="298"/>
      <c r="M250" s="298"/>
      <c r="N250" s="298"/>
      <c r="O250" s="298"/>
      <c r="P250" s="298"/>
      <c r="Q250" s="298"/>
      <c r="R250" s="298"/>
      <c r="T250" s="244"/>
      <c r="U250" s="244"/>
      <c r="V250" s="244"/>
      <c r="W250" s="244"/>
      <c r="X250" s="244"/>
      <c r="Y250" s="244"/>
      <c r="Z250" s="244"/>
      <c r="AA250" s="244"/>
      <c r="AB250" s="244"/>
      <c r="AC250" s="244"/>
      <c r="AD250" s="244"/>
      <c r="AE250" s="244"/>
      <c r="AF250" s="244"/>
      <c r="AG250" s="244"/>
      <c r="AH250" s="244"/>
      <c r="AI250" s="244"/>
      <c r="AJ250" s="244"/>
      <c r="AK250" s="244"/>
      <c r="AL250" s="244"/>
      <c r="AM250" s="244"/>
      <c r="AN250" s="244"/>
    </row>
    <row r="251" spans="1:40" x14ac:dyDescent="0.2">
      <c r="A251" s="298"/>
      <c r="B251" s="298"/>
      <c r="C251" s="298"/>
      <c r="D251" s="298"/>
      <c r="E251" s="298"/>
      <c r="F251" s="298"/>
      <c r="G251" s="298"/>
      <c r="H251" s="298"/>
      <c r="I251" s="298"/>
      <c r="J251" s="298"/>
      <c r="K251" s="298"/>
      <c r="L251" s="298"/>
      <c r="M251" s="298"/>
      <c r="N251" s="298"/>
      <c r="O251" s="298"/>
      <c r="P251" s="298"/>
      <c r="Q251" s="298"/>
      <c r="R251" s="298"/>
      <c r="T251" s="244"/>
      <c r="U251" s="244"/>
      <c r="V251" s="244"/>
      <c r="W251" s="244"/>
      <c r="X251" s="244"/>
      <c r="Y251" s="244"/>
      <c r="Z251" s="244"/>
      <c r="AA251" s="244"/>
      <c r="AB251" s="244"/>
      <c r="AC251" s="244"/>
      <c r="AD251" s="244"/>
      <c r="AE251" s="244"/>
      <c r="AF251" s="244"/>
      <c r="AG251" s="244"/>
      <c r="AH251" s="244"/>
      <c r="AI251" s="244"/>
      <c r="AJ251" s="244"/>
      <c r="AK251" s="244"/>
      <c r="AL251" s="244"/>
      <c r="AM251" s="244"/>
      <c r="AN251" s="244"/>
    </row>
    <row r="252" spans="1:40" x14ac:dyDescent="0.2">
      <c r="A252" s="298"/>
      <c r="B252" s="298"/>
      <c r="C252" s="298"/>
      <c r="D252" s="298"/>
      <c r="E252" s="298"/>
      <c r="F252" s="298"/>
      <c r="G252" s="298"/>
      <c r="H252" s="298"/>
      <c r="I252" s="298"/>
      <c r="J252" s="298"/>
      <c r="K252" s="298"/>
      <c r="L252" s="298"/>
      <c r="M252" s="298"/>
      <c r="N252" s="298"/>
      <c r="O252" s="298"/>
      <c r="P252" s="298"/>
      <c r="Q252" s="298"/>
      <c r="R252" s="298"/>
      <c r="T252" s="244"/>
      <c r="U252" s="244"/>
      <c r="V252" s="244"/>
      <c r="W252" s="244"/>
      <c r="X252" s="244"/>
      <c r="Y252" s="244"/>
      <c r="Z252" s="244"/>
      <c r="AA252" s="244"/>
      <c r="AB252" s="244"/>
      <c r="AC252" s="244"/>
      <c r="AD252" s="244"/>
      <c r="AE252" s="244"/>
      <c r="AF252" s="244"/>
      <c r="AG252" s="244"/>
      <c r="AH252" s="244"/>
      <c r="AI252" s="244"/>
      <c r="AJ252" s="244"/>
      <c r="AK252" s="244"/>
      <c r="AL252" s="244"/>
      <c r="AM252" s="244"/>
      <c r="AN252" s="244"/>
    </row>
    <row r="253" spans="1:40" x14ac:dyDescent="0.2">
      <c r="A253" s="298"/>
      <c r="B253" s="298"/>
      <c r="C253" s="298"/>
      <c r="D253" s="298"/>
      <c r="E253" s="298"/>
      <c r="F253" s="298"/>
      <c r="G253" s="298"/>
      <c r="H253" s="298"/>
      <c r="I253" s="298"/>
      <c r="J253" s="298"/>
      <c r="K253" s="298"/>
      <c r="L253" s="298"/>
      <c r="M253" s="298"/>
      <c r="N253" s="298"/>
      <c r="O253" s="298"/>
      <c r="P253" s="298"/>
      <c r="Q253" s="298"/>
      <c r="R253" s="298"/>
      <c r="T253" s="244"/>
      <c r="U253" s="244"/>
      <c r="V253" s="244"/>
      <c r="W253" s="244"/>
      <c r="X253" s="244"/>
      <c r="Y253" s="244"/>
      <c r="Z253" s="244"/>
      <c r="AA253" s="244"/>
      <c r="AB253" s="244"/>
      <c r="AC253" s="244"/>
      <c r="AD253" s="244"/>
      <c r="AE253" s="244"/>
      <c r="AF253" s="244"/>
      <c r="AG253" s="244"/>
      <c r="AH253" s="244"/>
      <c r="AI253" s="244"/>
      <c r="AJ253" s="244"/>
      <c r="AK253" s="244"/>
      <c r="AL253" s="244"/>
      <c r="AM253" s="244"/>
      <c r="AN253" s="244"/>
    </row>
    <row r="254" spans="1:40" x14ac:dyDescent="0.2">
      <c r="A254" s="298"/>
      <c r="B254" s="298"/>
      <c r="C254" s="298"/>
      <c r="D254" s="298"/>
      <c r="E254" s="298"/>
      <c r="F254" s="298"/>
      <c r="G254" s="298"/>
      <c r="H254" s="298"/>
      <c r="I254" s="298"/>
      <c r="J254" s="298"/>
      <c r="K254" s="298"/>
      <c r="L254" s="298"/>
      <c r="M254" s="298"/>
      <c r="N254" s="298"/>
      <c r="O254" s="298"/>
      <c r="P254" s="298"/>
      <c r="Q254" s="298"/>
      <c r="R254" s="298"/>
      <c r="T254" s="244"/>
      <c r="U254" s="244"/>
      <c r="V254" s="244"/>
      <c r="W254" s="244"/>
      <c r="X254" s="244"/>
      <c r="Y254" s="244"/>
      <c r="Z254" s="244"/>
      <c r="AA254" s="244"/>
      <c r="AB254" s="244"/>
      <c r="AC254" s="244"/>
      <c r="AD254" s="244"/>
      <c r="AE254" s="244"/>
      <c r="AF254" s="244"/>
      <c r="AG254" s="244"/>
      <c r="AH254" s="244"/>
      <c r="AI254" s="244"/>
      <c r="AJ254" s="244"/>
      <c r="AK254" s="244"/>
      <c r="AL254" s="244"/>
      <c r="AM254" s="244"/>
      <c r="AN254" s="244"/>
    </row>
    <row r="255" spans="1:40" x14ac:dyDescent="0.2">
      <c r="A255" s="298"/>
      <c r="B255" s="298"/>
      <c r="C255" s="298"/>
      <c r="D255" s="298"/>
      <c r="E255" s="298"/>
      <c r="F255" s="298"/>
      <c r="G255" s="298"/>
      <c r="H255" s="298"/>
      <c r="I255" s="298"/>
      <c r="J255" s="298"/>
      <c r="K255" s="298"/>
      <c r="L255" s="298"/>
      <c r="M255" s="298"/>
      <c r="N255" s="298"/>
      <c r="O255" s="298"/>
      <c r="P255" s="298"/>
      <c r="Q255" s="298"/>
      <c r="R255" s="298"/>
      <c r="T255" s="244"/>
      <c r="U255" s="244"/>
      <c r="V255" s="244"/>
      <c r="W255" s="244"/>
      <c r="X255" s="244"/>
      <c r="Y255" s="244"/>
      <c r="Z255" s="244"/>
      <c r="AA255" s="244"/>
      <c r="AB255" s="244"/>
      <c r="AC255" s="244"/>
      <c r="AD255" s="244"/>
      <c r="AE255" s="244"/>
      <c r="AF255" s="244"/>
      <c r="AG255" s="244"/>
      <c r="AH255" s="244"/>
      <c r="AI255" s="244"/>
      <c r="AJ255" s="244"/>
      <c r="AK255" s="244"/>
      <c r="AL255" s="244"/>
      <c r="AM255" s="244"/>
      <c r="AN255" s="244"/>
    </row>
    <row r="256" spans="1:40" x14ac:dyDescent="0.2">
      <c r="A256" s="298"/>
      <c r="B256" s="298"/>
      <c r="C256" s="298"/>
      <c r="D256" s="298"/>
      <c r="E256" s="298"/>
      <c r="F256" s="298"/>
      <c r="G256" s="298"/>
      <c r="H256" s="298"/>
      <c r="I256" s="298"/>
      <c r="J256" s="298"/>
      <c r="K256" s="298"/>
      <c r="L256" s="298"/>
      <c r="M256" s="298"/>
      <c r="N256" s="298"/>
      <c r="O256" s="298"/>
      <c r="P256" s="298"/>
      <c r="Q256" s="298"/>
      <c r="R256" s="298"/>
      <c r="T256" s="244"/>
      <c r="U256" s="244"/>
      <c r="V256" s="244"/>
      <c r="W256" s="244"/>
      <c r="X256" s="244"/>
      <c r="Y256" s="244"/>
      <c r="Z256" s="244"/>
      <c r="AA256" s="244"/>
      <c r="AB256" s="244"/>
      <c r="AC256" s="244"/>
      <c r="AD256" s="244"/>
      <c r="AE256" s="244"/>
      <c r="AF256" s="244"/>
      <c r="AG256" s="244"/>
      <c r="AH256" s="244"/>
      <c r="AI256" s="244"/>
      <c r="AJ256" s="244"/>
      <c r="AK256" s="244"/>
      <c r="AL256" s="244"/>
      <c r="AM256" s="244"/>
      <c r="AN256" s="244"/>
    </row>
    <row r="257" spans="1:40" x14ac:dyDescent="0.2">
      <c r="A257" s="298"/>
      <c r="B257" s="298"/>
      <c r="C257" s="298"/>
      <c r="D257" s="298"/>
      <c r="E257" s="298"/>
      <c r="F257" s="298"/>
      <c r="G257" s="298"/>
      <c r="H257" s="298"/>
      <c r="I257" s="298"/>
      <c r="J257" s="298"/>
      <c r="K257" s="298"/>
      <c r="L257" s="298"/>
      <c r="M257" s="298"/>
      <c r="N257" s="298"/>
      <c r="O257" s="298"/>
      <c r="P257" s="298"/>
      <c r="Q257" s="298"/>
      <c r="R257" s="298"/>
      <c r="T257" s="244"/>
      <c r="U257" s="244"/>
      <c r="V257" s="244"/>
      <c r="W257" s="244"/>
      <c r="X257" s="244"/>
      <c r="Y257" s="244"/>
      <c r="Z257" s="244"/>
      <c r="AA257" s="244"/>
      <c r="AB257" s="244"/>
      <c r="AC257" s="244"/>
      <c r="AD257" s="244"/>
      <c r="AE257" s="244"/>
      <c r="AF257" s="244"/>
      <c r="AG257" s="244"/>
      <c r="AH257" s="244"/>
      <c r="AI257" s="244"/>
      <c r="AJ257" s="244"/>
      <c r="AK257" s="244"/>
      <c r="AL257" s="244"/>
      <c r="AM257" s="244"/>
      <c r="AN257" s="244"/>
    </row>
    <row r="258" spans="1:40" x14ac:dyDescent="0.2">
      <c r="A258" s="298"/>
      <c r="B258" s="298"/>
      <c r="C258" s="298"/>
      <c r="D258" s="298"/>
      <c r="E258" s="298"/>
      <c r="F258" s="298"/>
      <c r="G258" s="298"/>
      <c r="H258" s="298"/>
      <c r="I258" s="298"/>
      <c r="J258" s="298"/>
      <c r="K258" s="298"/>
      <c r="L258" s="298"/>
      <c r="M258" s="298"/>
      <c r="N258" s="298"/>
      <c r="O258" s="298"/>
      <c r="P258" s="298"/>
      <c r="Q258" s="298"/>
      <c r="R258" s="298"/>
      <c r="T258" s="244"/>
      <c r="U258" s="244"/>
      <c r="V258" s="244"/>
      <c r="W258" s="244"/>
      <c r="X258" s="244"/>
      <c r="Y258" s="244"/>
      <c r="Z258" s="244"/>
      <c r="AA258" s="244"/>
      <c r="AB258" s="244"/>
      <c r="AC258" s="244"/>
      <c r="AD258" s="244"/>
      <c r="AE258" s="244"/>
      <c r="AF258" s="244"/>
      <c r="AG258" s="244"/>
      <c r="AH258" s="244"/>
      <c r="AI258" s="244"/>
      <c r="AJ258" s="244"/>
      <c r="AK258" s="244"/>
      <c r="AL258" s="244"/>
      <c r="AM258" s="244"/>
      <c r="AN258" s="244"/>
    </row>
    <row r="259" spans="1:40" x14ac:dyDescent="0.2">
      <c r="A259" s="298"/>
      <c r="B259" s="298"/>
      <c r="C259" s="298"/>
      <c r="D259" s="298"/>
      <c r="E259" s="298"/>
      <c r="F259" s="298"/>
      <c r="G259" s="298"/>
      <c r="H259" s="298"/>
      <c r="I259" s="298"/>
      <c r="J259" s="298"/>
      <c r="K259" s="298"/>
      <c r="L259" s="298"/>
      <c r="M259" s="298"/>
      <c r="N259" s="298"/>
      <c r="O259" s="298"/>
      <c r="P259" s="298"/>
      <c r="Q259" s="298"/>
      <c r="R259" s="298"/>
      <c r="T259" s="244"/>
      <c r="U259" s="244"/>
      <c r="V259" s="244"/>
      <c r="W259" s="244"/>
      <c r="X259" s="244"/>
      <c r="Y259" s="244"/>
      <c r="Z259" s="244"/>
      <c r="AA259" s="244"/>
      <c r="AB259" s="244"/>
      <c r="AC259" s="244"/>
      <c r="AD259" s="244"/>
      <c r="AE259" s="244"/>
      <c r="AF259" s="244"/>
      <c r="AG259" s="244"/>
      <c r="AH259" s="244"/>
      <c r="AI259" s="244"/>
      <c r="AJ259" s="244"/>
      <c r="AK259" s="244"/>
      <c r="AL259" s="244"/>
      <c r="AM259" s="244"/>
      <c r="AN259" s="244"/>
    </row>
    <row r="260" spans="1:40" x14ac:dyDescent="0.2">
      <c r="A260" s="298"/>
      <c r="B260" s="298"/>
      <c r="C260" s="298"/>
      <c r="D260" s="298"/>
      <c r="E260" s="298"/>
      <c r="F260" s="298"/>
      <c r="G260" s="298"/>
      <c r="H260" s="298"/>
      <c r="I260" s="298"/>
      <c r="J260" s="298"/>
      <c r="K260" s="298"/>
      <c r="L260" s="298"/>
      <c r="M260" s="298"/>
      <c r="N260" s="298"/>
      <c r="O260" s="298"/>
      <c r="P260" s="298"/>
      <c r="Q260" s="298"/>
      <c r="R260" s="298"/>
      <c r="T260" s="244"/>
      <c r="U260" s="244"/>
      <c r="V260" s="244"/>
      <c r="W260" s="244"/>
      <c r="X260" s="244"/>
      <c r="Y260" s="244"/>
      <c r="Z260" s="244"/>
      <c r="AA260" s="244"/>
      <c r="AB260" s="244"/>
      <c r="AC260" s="244"/>
      <c r="AD260" s="244"/>
      <c r="AE260" s="244"/>
      <c r="AF260" s="244"/>
      <c r="AG260" s="244"/>
      <c r="AH260" s="244"/>
      <c r="AI260" s="244"/>
      <c r="AJ260" s="244"/>
      <c r="AK260" s="244"/>
      <c r="AL260" s="244"/>
      <c r="AM260" s="244"/>
      <c r="AN260" s="244"/>
    </row>
    <row r="261" spans="1:40" x14ac:dyDescent="0.2">
      <c r="A261" s="298"/>
      <c r="B261" s="298"/>
      <c r="C261" s="298"/>
      <c r="D261" s="298"/>
      <c r="E261" s="298"/>
      <c r="F261" s="298"/>
      <c r="G261" s="298"/>
      <c r="H261" s="298"/>
      <c r="I261" s="298"/>
      <c r="J261" s="298"/>
      <c r="K261" s="298"/>
      <c r="L261" s="298"/>
      <c r="M261" s="298"/>
      <c r="N261" s="298"/>
      <c r="O261" s="298"/>
      <c r="P261" s="298"/>
      <c r="Q261" s="298"/>
      <c r="R261" s="298"/>
      <c r="T261" s="244"/>
      <c r="U261" s="244"/>
      <c r="V261" s="244"/>
      <c r="W261" s="244"/>
      <c r="X261" s="244"/>
      <c r="Y261" s="244"/>
      <c r="Z261" s="244"/>
      <c r="AA261" s="244"/>
      <c r="AB261" s="244"/>
      <c r="AC261" s="244"/>
      <c r="AD261" s="244"/>
      <c r="AE261" s="244"/>
      <c r="AF261" s="244"/>
      <c r="AG261" s="244"/>
      <c r="AH261" s="244"/>
      <c r="AI261" s="244"/>
      <c r="AJ261" s="244"/>
      <c r="AK261" s="244"/>
      <c r="AL261" s="244"/>
      <c r="AM261" s="244"/>
      <c r="AN261" s="244"/>
    </row>
    <row r="262" spans="1:40" x14ac:dyDescent="0.2">
      <c r="A262" s="298"/>
      <c r="B262" s="298"/>
      <c r="C262" s="298"/>
      <c r="D262" s="298"/>
      <c r="E262" s="298"/>
      <c r="F262" s="298"/>
      <c r="G262" s="298"/>
      <c r="H262" s="298"/>
      <c r="I262" s="298"/>
      <c r="J262" s="298"/>
      <c r="K262" s="298"/>
      <c r="L262" s="298"/>
      <c r="M262" s="298"/>
      <c r="N262" s="298"/>
      <c r="O262" s="298"/>
      <c r="P262" s="298"/>
      <c r="Q262" s="298"/>
      <c r="R262" s="298"/>
      <c r="T262" s="244"/>
      <c r="U262" s="244"/>
      <c r="V262" s="244"/>
      <c r="W262" s="244"/>
      <c r="X262" s="244"/>
      <c r="Y262" s="244"/>
      <c r="Z262" s="244"/>
      <c r="AA262" s="244"/>
      <c r="AB262" s="244"/>
      <c r="AC262" s="244"/>
      <c r="AD262" s="244"/>
      <c r="AE262" s="244"/>
      <c r="AF262" s="244"/>
      <c r="AG262" s="244"/>
      <c r="AH262" s="244"/>
      <c r="AI262" s="244"/>
      <c r="AJ262" s="244"/>
      <c r="AK262" s="244"/>
      <c r="AL262" s="244"/>
      <c r="AM262" s="244"/>
      <c r="AN262" s="244"/>
    </row>
    <row r="263" spans="1:40" x14ac:dyDescent="0.2">
      <c r="A263" s="298"/>
      <c r="B263" s="298"/>
      <c r="C263" s="298"/>
      <c r="D263" s="298"/>
      <c r="E263" s="298"/>
      <c r="F263" s="298"/>
      <c r="G263" s="298"/>
      <c r="H263" s="298"/>
      <c r="I263" s="298"/>
      <c r="J263" s="298"/>
      <c r="K263" s="298"/>
      <c r="L263" s="298"/>
      <c r="M263" s="298"/>
      <c r="N263" s="298"/>
      <c r="O263" s="298"/>
      <c r="P263" s="298"/>
      <c r="Q263" s="298"/>
      <c r="R263" s="298"/>
      <c r="T263" s="244"/>
      <c r="U263" s="244"/>
      <c r="V263" s="244"/>
      <c r="W263" s="244"/>
      <c r="X263" s="244"/>
      <c r="Y263" s="244"/>
      <c r="Z263" s="244"/>
      <c r="AA263" s="244"/>
      <c r="AB263" s="244"/>
      <c r="AC263" s="244"/>
      <c r="AD263" s="244"/>
      <c r="AE263" s="244"/>
      <c r="AF263" s="244"/>
      <c r="AG263" s="244"/>
      <c r="AH263" s="244"/>
      <c r="AI263" s="244"/>
      <c r="AJ263" s="244"/>
      <c r="AK263" s="244"/>
      <c r="AL263" s="244"/>
      <c r="AM263" s="244"/>
      <c r="AN263" s="244"/>
    </row>
    <row r="264" spans="1:40" x14ac:dyDescent="0.2">
      <c r="A264" s="298"/>
      <c r="B264" s="298"/>
      <c r="C264" s="298"/>
      <c r="D264" s="298"/>
      <c r="E264" s="298"/>
      <c r="F264" s="298"/>
      <c r="G264" s="298"/>
      <c r="H264" s="298"/>
      <c r="I264" s="298"/>
      <c r="J264" s="298"/>
      <c r="K264" s="298"/>
      <c r="L264" s="298"/>
      <c r="M264" s="298"/>
      <c r="N264" s="298"/>
      <c r="O264" s="298"/>
      <c r="P264" s="298"/>
      <c r="Q264" s="298"/>
      <c r="R264" s="298"/>
      <c r="T264" s="244"/>
      <c r="U264" s="244"/>
      <c r="V264" s="244"/>
      <c r="W264" s="244"/>
      <c r="X264" s="244"/>
      <c r="Y264" s="244"/>
      <c r="Z264" s="244"/>
      <c r="AA264" s="244"/>
      <c r="AB264" s="244"/>
      <c r="AC264" s="244"/>
      <c r="AD264" s="244"/>
      <c r="AE264" s="244"/>
      <c r="AF264" s="244"/>
      <c r="AG264" s="244"/>
      <c r="AH264" s="244"/>
      <c r="AI264" s="244"/>
      <c r="AJ264" s="244"/>
      <c r="AK264" s="244"/>
      <c r="AL264" s="244"/>
      <c r="AM264" s="244"/>
      <c r="AN264" s="244"/>
    </row>
    <row r="265" spans="1:40" x14ac:dyDescent="0.2">
      <c r="A265" s="298"/>
      <c r="B265" s="298"/>
      <c r="C265" s="298"/>
      <c r="D265" s="298"/>
      <c r="E265" s="298"/>
      <c r="F265" s="298"/>
      <c r="G265" s="298"/>
      <c r="H265" s="298"/>
      <c r="I265" s="298"/>
      <c r="J265" s="298"/>
      <c r="K265" s="298"/>
      <c r="L265" s="298"/>
      <c r="M265" s="298"/>
      <c r="N265" s="298"/>
      <c r="O265" s="298"/>
      <c r="P265" s="298"/>
      <c r="Q265" s="298"/>
      <c r="R265" s="298"/>
      <c r="T265" s="244"/>
      <c r="U265" s="244"/>
      <c r="V265" s="244"/>
      <c r="W265" s="244"/>
      <c r="X265" s="244"/>
      <c r="Y265" s="244"/>
      <c r="Z265" s="244"/>
      <c r="AA265" s="244"/>
      <c r="AB265" s="244"/>
      <c r="AC265" s="244"/>
      <c r="AD265" s="244"/>
      <c r="AE265" s="244"/>
      <c r="AF265" s="244"/>
      <c r="AG265" s="244"/>
      <c r="AH265" s="244"/>
      <c r="AI265" s="244"/>
      <c r="AJ265" s="244"/>
      <c r="AK265" s="244"/>
      <c r="AL265" s="244"/>
      <c r="AM265" s="244"/>
      <c r="AN265" s="244"/>
    </row>
    <row r="266" spans="1:40" x14ac:dyDescent="0.2">
      <c r="A266" s="298"/>
      <c r="B266" s="298"/>
      <c r="C266" s="298"/>
      <c r="D266" s="298"/>
      <c r="E266" s="298"/>
      <c r="F266" s="298"/>
      <c r="G266" s="298"/>
      <c r="H266" s="298"/>
      <c r="I266" s="298"/>
      <c r="J266" s="298"/>
      <c r="K266" s="298"/>
      <c r="L266" s="298"/>
      <c r="M266" s="298"/>
      <c r="N266" s="298"/>
      <c r="O266" s="298"/>
      <c r="P266" s="298"/>
      <c r="Q266" s="298"/>
      <c r="R266" s="298"/>
      <c r="T266" s="244"/>
      <c r="U266" s="244"/>
      <c r="V266" s="244"/>
      <c r="W266" s="244"/>
      <c r="X266" s="244"/>
      <c r="Y266" s="244"/>
      <c r="Z266" s="244"/>
      <c r="AA266" s="244"/>
      <c r="AB266" s="244"/>
      <c r="AC266" s="244"/>
      <c r="AD266" s="244"/>
      <c r="AE266" s="244"/>
      <c r="AF266" s="244"/>
      <c r="AG266" s="244"/>
      <c r="AH266" s="244"/>
      <c r="AI266" s="244"/>
      <c r="AJ266" s="244"/>
      <c r="AK266" s="244"/>
      <c r="AL266" s="244"/>
      <c r="AM266" s="244"/>
      <c r="AN266" s="244"/>
    </row>
    <row r="267" spans="1:40" x14ac:dyDescent="0.2">
      <c r="A267" s="298"/>
      <c r="B267" s="298"/>
      <c r="C267" s="298"/>
      <c r="D267" s="298"/>
      <c r="E267" s="298"/>
      <c r="F267" s="298"/>
      <c r="G267" s="298"/>
      <c r="H267" s="298"/>
      <c r="I267" s="298"/>
      <c r="J267" s="298"/>
      <c r="K267" s="298"/>
      <c r="L267" s="298"/>
      <c r="M267" s="298"/>
      <c r="N267" s="298"/>
      <c r="O267" s="298"/>
      <c r="P267" s="298"/>
      <c r="Q267" s="298"/>
      <c r="R267" s="298"/>
      <c r="T267" s="244"/>
      <c r="U267" s="244"/>
      <c r="V267" s="244"/>
      <c r="W267" s="244"/>
      <c r="X267" s="244"/>
      <c r="Y267" s="244"/>
      <c r="Z267" s="244"/>
      <c r="AA267" s="244"/>
      <c r="AB267" s="244"/>
      <c r="AC267" s="244"/>
      <c r="AD267" s="244"/>
      <c r="AE267" s="244"/>
      <c r="AF267" s="244"/>
      <c r="AG267" s="244"/>
      <c r="AH267" s="244"/>
      <c r="AI267" s="244"/>
      <c r="AJ267" s="244"/>
      <c r="AK267" s="244"/>
      <c r="AL267" s="244"/>
      <c r="AM267" s="244"/>
      <c r="AN267" s="244"/>
    </row>
    <row r="268" spans="1:40" x14ac:dyDescent="0.2">
      <c r="A268" s="298"/>
      <c r="B268" s="298"/>
      <c r="C268" s="298"/>
      <c r="D268" s="298"/>
      <c r="E268" s="298"/>
      <c r="F268" s="298"/>
      <c r="G268" s="298"/>
      <c r="H268" s="298"/>
      <c r="I268" s="298"/>
      <c r="J268" s="298"/>
      <c r="K268" s="298"/>
      <c r="L268" s="298"/>
      <c r="M268" s="298"/>
      <c r="N268" s="298"/>
      <c r="O268" s="298"/>
      <c r="P268" s="298"/>
      <c r="Q268" s="298"/>
      <c r="R268" s="298"/>
      <c r="T268" s="244"/>
      <c r="U268" s="244"/>
      <c r="V268" s="244"/>
      <c r="W268" s="244"/>
      <c r="X268" s="244"/>
      <c r="Y268" s="244"/>
      <c r="Z268" s="244"/>
      <c r="AA268" s="244"/>
      <c r="AB268" s="244"/>
      <c r="AC268" s="244"/>
      <c r="AD268" s="244"/>
      <c r="AE268" s="244"/>
      <c r="AF268" s="244"/>
      <c r="AG268" s="244"/>
      <c r="AH268" s="244"/>
      <c r="AI268" s="244"/>
      <c r="AJ268" s="244"/>
      <c r="AK268" s="244"/>
      <c r="AL268" s="244"/>
      <c r="AM268" s="244"/>
      <c r="AN268" s="244"/>
    </row>
    <row r="269" spans="1:40" x14ac:dyDescent="0.2">
      <c r="A269" s="298"/>
      <c r="B269" s="298"/>
      <c r="C269" s="298"/>
      <c r="D269" s="298"/>
      <c r="E269" s="298"/>
      <c r="F269" s="298"/>
      <c r="G269" s="298"/>
      <c r="H269" s="298"/>
      <c r="I269" s="298"/>
      <c r="J269" s="298"/>
      <c r="K269" s="298"/>
      <c r="L269" s="298"/>
      <c r="M269" s="298"/>
      <c r="N269" s="298"/>
      <c r="O269" s="298"/>
      <c r="P269" s="298"/>
      <c r="Q269" s="298"/>
      <c r="R269" s="298"/>
      <c r="T269" s="244"/>
      <c r="U269" s="244"/>
      <c r="V269" s="244"/>
      <c r="W269" s="244"/>
      <c r="X269" s="244"/>
      <c r="Y269" s="244"/>
      <c r="Z269" s="244"/>
      <c r="AA269" s="244"/>
      <c r="AB269" s="244"/>
      <c r="AC269" s="244"/>
      <c r="AD269" s="244"/>
      <c r="AE269" s="244"/>
      <c r="AF269" s="244"/>
      <c r="AG269" s="244"/>
      <c r="AH269" s="244"/>
      <c r="AI269" s="244"/>
      <c r="AJ269" s="244"/>
      <c r="AK269" s="244"/>
      <c r="AL269" s="244"/>
      <c r="AM269" s="244"/>
      <c r="AN269" s="244"/>
    </row>
    <row r="270" spans="1:40" x14ac:dyDescent="0.2">
      <c r="A270" s="298"/>
      <c r="B270" s="298"/>
      <c r="C270" s="298"/>
      <c r="D270" s="298"/>
      <c r="E270" s="298"/>
      <c r="F270" s="298"/>
      <c r="G270" s="298"/>
      <c r="H270" s="298"/>
      <c r="I270" s="298"/>
      <c r="J270" s="298"/>
      <c r="K270" s="298"/>
      <c r="L270" s="298"/>
      <c r="M270" s="298"/>
      <c r="N270" s="298"/>
      <c r="O270" s="298"/>
      <c r="P270" s="298"/>
      <c r="Q270" s="298"/>
      <c r="R270" s="298"/>
      <c r="T270" s="244"/>
      <c r="U270" s="244"/>
      <c r="V270" s="244"/>
      <c r="W270" s="244"/>
      <c r="X270" s="244"/>
      <c r="Y270" s="244"/>
      <c r="Z270" s="244"/>
      <c r="AA270" s="244"/>
      <c r="AB270" s="244"/>
      <c r="AC270" s="244"/>
      <c r="AD270" s="244"/>
      <c r="AE270" s="244"/>
      <c r="AF270" s="244"/>
      <c r="AG270" s="244"/>
      <c r="AH270" s="244"/>
      <c r="AI270" s="244"/>
      <c r="AJ270" s="244"/>
      <c r="AK270" s="244"/>
      <c r="AL270" s="244"/>
      <c r="AM270" s="244"/>
      <c r="AN270" s="244"/>
    </row>
    <row r="271" spans="1:40" x14ac:dyDescent="0.2">
      <c r="A271" s="298"/>
      <c r="B271" s="298"/>
      <c r="C271" s="298"/>
      <c r="D271" s="298"/>
      <c r="E271" s="298"/>
      <c r="F271" s="298"/>
      <c r="G271" s="298"/>
      <c r="H271" s="298"/>
      <c r="I271" s="298"/>
      <c r="J271" s="298"/>
      <c r="K271" s="298"/>
      <c r="L271" s="298"/>
      <c r="M271" s="298"/>
      <c r="N271" s="298"/>
      <c r="O271" s="298"/>
      <c r="P271" s="298"/>
      <c r="Q271" s="298"/>
      <c r="R271" s="298"/>
      <c r="T271" s="244"/>
      <c r="U271" s="244"/>
      <c r="V271" s="244"/>
      <c r="W271" s="244"/>
      <c r="X271" s="244"/>
      <c r="Y271" s="244"/>
      <c r="Z271" s="244"/>
      <c r="AA271" s="244"/>
      <c r="AB271" s="244"/>
      <c r="AC271" s="244"/>
      <c r="AD271" s="244"/>
      <c r="AE271" s="244"/>
      <c r="AF271" s="244"/>
      <c r="AG271" s="244"/>
      <c r="AH271" s="244"/>
      <c r="AI271" s="244"/>
      <c r="AJ271" s="244"/>
      <c r="AK271" s="244"/>
      <c r="AL271" s="244"/>
      <c r="AM271" s="244"/>
      <c r="AN271" s="244"/>
    </row>
    <row r="272" spans="1:40" x14ac:dyDescent="0.2">
      <c r="A272" s="298"/>
      <c r="B272" s="298"/>
      <c r="C272" s="298"/>
      <c r="D272" s="298"/>
      <c r="E272" s="298"/>
      <c r="F272" s="298"/>
      <c r="G272" s="298"/>
      <c r="H272" s="298"/>
      <c r="I272" s="298"/>
      <c r="J272" s="298"/>
      <c r="K272" s="298"/>
      <c r="L272" s="298"/>
      <c r="M272" s="298"/>
      <c r="N272" s="298"/>
      <c r="O272" s="298"/>
      <c r="P272" s="298"/>
      <c r="Q272" s="298"/>
      <c r="R272" s="298"/>
      <c r="T272" s="244"/>
      <c r="U272" s="244"/>
      <c r="V272" s="244"/>
      <c r="W272" s="244"/>
      <c r="X272" s="244"/>
      <c r="Y272" s="244"/>
      <c r="Z272" s="244"/>
      <c r="AA272" s="244"/>
      <c r="AB272" s="244"/>
      <c r="AC272" s="244"/>
      <c r="AD272" s="244"/>
      <c r="AE272" s="244"/>
      <c r="AF272" s="244"/>
      <c r="AG272" s="244"/>
      <c r="AH272" s="244"/>
      <c r="AI272" s="244"/>
      <c r="AJ272" s="244"/>
      <c r="AK272" s="244"/>
      <c r="AL272" s="244"/>
      <c r="AM272" s="244"/>
      <c r="AN272" s="244"/>
    </row>
    <row r="273" spans="1:40" x14ac:dyDescent="0.2">
      <c r="A273" s="298"/>
      <c r="B273" s="298"/>
      <c r="C273" s="298"/>
      <c r="D273" s="298"/>
      <c r="E273" s="298"/>
      <c r="F273" s="298"/>
      <c r="G273" s="298"/>
      <c r="H273" s="298"/>
      <c r="I273" s="298"/>
      <c r="J273" s="298"/>
      <c r="K273" s="298"/>
      <c r="L273" s="298"/>
      <c r="M273" s="298"/>
      <c r="N273" s="298"/>
      <c r="O273" s="298"/>
      <c r="P273" s="298"/>
      <c r="Q273" s="298"/>
      <c r="R273" s="298"/>
      <c r="T273" s="244"/>
      <c r="U273" s="244"/>
      <c r="V273" s="244"/>
      <c r="W273" s="244"/>
      <c r="X273" s="244"/>
      <c r="Y273" s="244"/>
      <c r="Z273" s="244"/>
      <c r="AA273" s="244"/>
      <c r="AB273" s="244"/>
      <c r="AC273" s="244"/>
      <c r="AD273" s="244"/>
      <c r="AE273" s="244"/>
      <c r="AF273" s="244"/>
      <c r="AG273" s="244"/>
      <c r="AH273" s="244"/>
      <c r="AI273" s="244"/>
      <c r="AJ273" s="244"/>
      <c r="AK273" s="244"/>
      <c r="AL273" s="244"/>
      <c r="AM273" s="244"/>
      <c r="AN273" s="244"/>
    </row>
    <row r="274" spans="1:40" x14ac:dyDescent="0.2">
      <c r="A274" s="298"/>
      <c r="B274" s="298"/>
      <c r="C274" s="298"/>
      <c r="D274" s="298"/>
      <c r="E274" s="298"/>
      <c r="F274" s="298"/>
      <c r="G274" s="298"/>
      <c r="H274" s="298"/>
      <c r="I274" s="298"/>
      <c r="J274" s="298"/>
      <c r="K274" s="298"/>
      <c r="L274" s="298"/>
      <c r="M274" s="298"/>
      <c r="N274" s="298"/>
      <c r="O274" s="298"/>
      <c r="P274" s="298"/>
      <c r="Q274" s="298"/>
      <c r="R274" s="298"/>
      <c r="T274" s="244"/>
      <c r="U274" s="244"/>
      <c r="V274" s="244"/>
      <c r="W274" s="244"/>
      <c r="X274" s="244"/>
      <c r="Y274" s="244"/>
      <c r="Z274" s="244"/>
      <c r="AA274" s="244"/>
      <c r="AB274" s="244"/>
      <c r="AC274" s="244"/>
      <c r="AD274" s="244"/>
      <c r="AE274" s="244"/>
      <c r="AF274" s="244"/>
      <c r="AG274" s="244"/>
      <c r="AH274" s="244"/>
      <c r="AI274" s="244"/>
      <c r="AJ274" s="244"/>
      <c r="AK274" s="244"/>
      <c r="AL274" s="244"/>
      <c r="AM274" s="244"/>
      <c r="AN274" s="244"/>
    </row>
    <row r="275" spans="1:40" x14ac:dyDescent="0.2">
      <c r="A275" s="298"/>
      <c r="B275" s="298"/>
      <c r="C275" s="298"/>
      <c r="D275" s="298"/>
      <c r="E275" s="298"/>
      <c r="F275" s="298"/>
      <c r="G275" s="298"/>
      <c r="H275" s="298"/>
      <c r="I275" s="298"/>
      <c r="J275" s="298"/>
      <c r="K275" s="298"/>
      <c r="L275" s="298"/>
      <c r="M275" s="298"/>
      <c r="N275" s="298"/>
      <c r="O275" s="298"/>
      <c r="P275" s="298"/>
      <c r="Q275" s="298"/>
      <c r="R275" s="298"/>
      <c r="T275" s="244"/>
      <c r="U275" s="244"/>
      <c r="V275" s="244"/>
      <c r="W275" s="244"/>
      <c r="X275" s="244"/>
      <c r="Y275" s="244"/>
      <c r="Z275" s="244"/>
      <c r="AA275" s="244"/>
      <c r="AB275" s="244"/>
      <c r="AC275" s="244"/>
      <c r="AD275" s="244"/>
      <c r="AE275" s="244"/>
      <c r="AF275" s="244"/>
      <c r="AG275" s="244"/>
      <c r="AH275" s="244"/>
      <c r="AI275" s="244"/>
      <c r="AJ275" s="244"/>
      <c r="AK275" s="244"/>
      <c r="AL275" s="244"/>
      <c r="AM275" s="244"/>
      <c r="AN275" s="244"/>
    </row>
    <row r="276" spans="1:40" x14ac:dyDescent="0.2">
      <c r="A276" s="298"/>
      <c r="B276" s="298"/>
      <c r="C276" s="298"/>
      <c r="D276" s="298"/>
      <c r="E276" s="298"/>
      <c r="F276" s="298"/>
      <c r="G276" s="298"/>
      <c r="H276" s="298"/>
      <c r="I276" s="298"/>
      <c r="J276" s="298"/>
      <c r="K276" s="298"/>
      <c r="L276" s="298"/>
      <c r="M276" s="298"/>
      <c r="N276" s="298"/>
      <c r="O276" s="298"/>
      <c r="P276" s="298"/>
      <c r="Q276" s="298"/>
      <c r="R276" s="298"/>
      <c r="T276" s="244"/>
      <c r="U276" s="244"/>
      <c r="V276" s="244"/>
      <c r="W276" s="244"/>
      <c r="X276" s="244"/>
      <c r="Y276" s="244"/>
      <c r="Z276" s="244"/>
      <c r="AA276" s="244"/>
      <c r="AB276" s="244"/>
      <c r="AC276" s="244"/>
      <c r="AD276" s="244"/>
      <c r="AE276" s="244"/>
      <c r="AF276" s="244"/>
      <c r="AG276" s="244"/>
      <c r="AH276" s="244"/>
      <c r="AI276" s="244"/>
      <c r="AJ276" s="244"/>
      <c r="AK276" s="244"/>
      <c r="AL276" s="244"/>
      <c r="AM276" s="244"/>
      <c r="AN276" s="244"/>
    </row>
    <row r="277" spans="1:40" x14ac:dyDescent="0.2">
      <c r="A277" s="298"/>
      <c r="B277" s="298"/>
      <c r="C277" s="298"/>
      <c r="D277" s="298"/>
      <c r="E277" s="298"/>
      <c r="F277" s="298"/>
      <c r="G277" s="298"/>
      <c r="H277" s="298"/>
      <c r="I277" s="298"/>
      <c r="J277" s="298"/>
      <c r="K277" s="298"/>
      <c r="L277" s="298"/>
      <c r="M277" s="298"/>
      <c r="N277" s="298"/>
      <c r="O277" s="298"/>
      <c r="P277" s="298"/>
      <c r="Q277" s="298"/>
      <c r="R277" s="298"/>
      <c r="T277" s="244"/>
      <c r="U277" s="244"/>
      <c r="V277" s="244"/>
      <c r="W277" s="244"/>
      <c r="X277" s="244"/>
      <c r="Y277" s="244"/>
      <c r="Z277" s="244"/>
      <c r="AA277" s="244"/>
      <c r="AB277" s="244"/>
      <c r="AC277" s="244"/>
      <c r="AD277" s="244"/>
      <c r="AE277" s="244"/>
      <c r="AF277" s="244"/>
      <c r="AG277" s="244"/>
      <c r="AH277" s="244"/>
      <c r="AI277" s="244"/>
      <c r="AJ277" s="244"/>
      <c r="AK277" s="244"/>
      <c r="AL277" s="244"/>
      <c r="AM277" s="244"/>
      <c r="AN277" s="244"/>
    </row>
    <row r="278" spans="1:40" x14ac:dyDescent="0.2">
      <c r="A278" s="298"/>
      <c r="B278" s="298"/>
      <c r="C278" s="298"/>
      <c r="D278" s="298"/>
      <c r="E278" s="298"/>
      <c r="F278" s="298"/>
      <c r="G278" s="298"/>
      <c r="H278" s="298"/>
      <c r="I278" s="298"/>
      <c r="J278" s="298"/>
      <c r="K278" s="298"/>
      <c r="L278" s="298"/>
      <c r="M278" s="298"/>
      <c r="N278" s="298"/>
      <c r="O278" s="298"/>
      <c r="P278" s="298"/>
      <c r="Q278" s="298"/>
      <c r="R278" s="298"/>
      <c r="T278" s="244"/>
      <c r="U278" s="244"/>
      <c r="V278" s="244"/>
      <c r="W278" s="244"/>
      <c r="X278" s="244"/>
      <c r="Y278" s="244"/>
      <c r="Z278" s="244"/>
      <c r="AA278" s="244"/>
      <c r="AB278" s="244"/>
      <c r="AC278" s="244"/>
      <c r="AD278" s="244"/>
      <c r="AE278" s="244"/>
      <c r="AF278" s="244"/>
      <c r="AG278" s="244"/>
      <c r="AH278" s="244"/>
      <c r="AI278" s="244"/>
      <c r="AJ278" s="244"/>
      <c r="AK278" s="244"/>
      <c r="AL278" s="244"/>
      <c r="AM278" s="244"/>
      <c r="AN278" s="244"/>
    </row>
    <row r="279" spans="1:40" x14ac:dyDescent="0.2">
      <c r="A279" s="298"/>
      <c r="B279" s="298"/>
      <c r="C279" s="298"/>
      <c r="D279" s="298"/>
      <c r="E279" s="298"/>
      <c r="F279" s="298"/>
      <c r="G279" s="298"/>
      <c r="H279" s="298"/>
      <c r="I279" s="298"/>
      <c r="J279" s="298"/>
      <c r="K279" s="298"/>
      <c r="L279" s="298"/>
      <c r="M279" s="298"/>
      <c r="N279" s="298"/>
      <c r="O279" s="298"/>
      <c r="P279" s="298"/>
      <c r="Q279" s="298"/>
      <c r="R279" s="298"/>
      <c r="T279" s="244"/>
      <c r="U279" s="244"/>
      <c r="V279" s="244"/>
      <c r="W279" s="244"/>
      <c r="X279" s="244"/>
      <c r="Y279" s="244"/>
      <c r="Z279" s="244"/>
      <c r="AA279" s="244"/>
      <c r="AB279" s="244"/>
      <c r="AC279" s="244"/>
      <c r="AD279" s="244"/>
      <c r="AE279" s="244"/>
      <c r="AF279" s="244"/>
      <c r="AG279" s="244"/>
      <c r="AH279" s="244"/>
      <c r="AI279" s="244"/>
      <c r="AJ279" s="244"/>
      <c r="AK279" s="244"/>
      <c r="AL279" s="244"/>
      <c r="AM279" s="244"/>
      <c r="AN279" s="244"/>
    </row>
    <row r="280" spans="1:40" x14ac:dyDescent="0.2">
      <c r="A280" s="298"/>
      <c r="B280" s="298"/>
      <c r="C280" s="298"/>
      <c r="D280" s="298"/>
      <c r="E280" s="298"/>
      <c r="F280" s="298"/>
      <c r="G280" s="298"/>
      <c r="H280" s="298"/>
      <c r="I280" s="298"/>
      <c r="J280" s="298"/>
      <c r="K280" s="298"/>
      <c r="L280" s="298"/>
      <c r="M280" s="298"/>
      <c r="N280" s="298"/>
      <c r="O280" s="298"/>
      <c r="P280" s="298"/>
      <c r="Q280" s="298"/>
      <c r="R280" s="298"/>
      <c r="T280" s="244"/>
      <c r="U280" s="244"/>
      <c r="V280" s="244"/>
      <c r="W280" s="244"/>
      <c r="X280" s="244"/>
      <c r="Y280" s="244"/>
      <c r="Z280" s="244"/>
      <c r="AA280" s="244"/>
      <c r="AB280" s="244"/>
      <c r="AC280" s="244"/>
      <c r="AD280" s="244"/>
      <c r="AE280" s="244"/>
      <c r="AF280" s="244"/>
      <c r="AG280" s="244"/>
      <c r="AH280" s="244"/>
      <c r="AI280" s="244"/>
      <c r="AJ280" s="244"/>
      <c r="AK280" s="244"/>
      <c r="AL280" s="244"/>
      <c r="AM280" s="244"/>
      <c r="AN280" s="244"/>
    </row>
    <row r="281" spans="1:40" x14ac:dyDescent="0.2">
      <c r="A281" s="298"/>
      <c r="B281" s="298"/>
      <c r="C281" s="298"/>
      <c r="D281" s="298"/>
      <c r="E281" s="298"/>
      <c r="F281" s="298"/>
      <c r="G281" s="298"/>
      <c r="H281" s="298"/>
      <c r="I281" s="298"/>
      <c r="J281" s="298"/>
      <c r="K281" s="298"/>
      <c r="L281" s="298"/>
      <c r="M281" s="298"/>
      <c r="N281" s="298"/>
      <c r="O281" s="298"/>
      <c r="P281" s="298"/>
      <c r="Q281" s="298"/>
      <c r="R281" s="298"/>
      <c r="T281" s="244"/>
      <c r="U281" s="244"/>
      <c r="V281" s="244"/>
      <c r="W281" s="244"/>
      <c r="X281" s="244"/>
      <c r="Y281" s="244"/>
      <c r="Z281" s="244"/>
      <c r="AA281" s="244"/>
      <c r="AB281" s="244"/>
      <c r="AC281" s="244"/>
      <c r="AD281" s="244"/>
      <c r="AE281" s="244"/>
      <c r="AF281" s="244"/>
      <c r="AG281" s="244"/>
      <c r="AH281" s="244"/>
      <c r="AI281" s="244"/>
      <c r="AJ281" s="244"/>
      <c r="AK281" s="244"/>
      <c r="AL281" s="244"/>
      <c r="AM281" s="244"/>
      <c r="AN281" s="244"/>
    </row>
    <row r="282" spans="1:40" x14ac:dyDescent="0.2">
      <c r="A282" s="298"/>
      <c r="B282" s="298"/>
      <c r="C282" s="298"/>
      <c r="D282" s="298"/>
      <c r="E282" s="298"/>
      <c r="F282" s="298"/>
      <c r="G282" s="298"/>
      <c r="H282" s="298"/>
      <c r="I282" s="298"/>
      <c r="J282" s="298"/>
      <c r="K282" s="298"/>
      <c r="L282" s="298"/>
      <c r="M282" s="298"/>
      <c r="N282" s="298"/>
      <c r="O282" s="298"/>
      <c r="P282" s="298"/>
      <c r="Q282" s="298"/>
      <c r="R282" s="298"/>
      <c r="T282" s="244"/>
      <c r="U282" s="244"/>
      <c r="V282" s="244"/>
      <c r="W282" s="244"/>
      <c r="X282" s="244"/>
      <c r="Y282" s="244"/>
      <c r="Z282" s="244"/>
      <c r="AA282" s="244"/>
      <c r="AB282" s="244"/>
      <c r="AC282" s="244"/>
      <c r="AD282" s="244"/>
      <c r="AE282" s="244"/>
      <c r="AF282" s="244"/>
      <c r="AG282" s="244"/>
      <c r="AH282" s="244"/>
      <c r="AI282" s="244"/>
      <c r="AJ282" s="244"/>
      <c r="AK282" s="244"/>
      <c r="AL282" s="244"/>
      <c r="AM282" s="244"/>
      <c r="AN282" s="244"/>
    </row>
    <row r="283" spans="1:40" x14ac:dyDescent="0.2">
      <c r="A283" s="298"/>
      <c r="B283" s="298"/>
      <c r="C283" s="298"/>
      <c r="D283" s="298"/>
      <c r="E283" s="298"/>
      <c r="F283" s="298"/>
      <c r="G283" s="298"/>
      <c r="H283" s="298"/>
      <c r="I283" s="298"/>
      <c r="J283" s="298"/>
      <c r="K283" s="298"/>
      <c r="L283" s="298"/>
      <c r="M283" s="298"/>
      <c r="N283" s="298"/>
      <c r="O283" s="298"/>
      <c r="P283" s="298"/>
      <c r="Q283" s="298"/>
      <c r="R283" s="298"/>
      <c r="T283" s="244"/>
      <c r="U283" s="244"/>
      <c r="V283" s="244"/>
      <c r="W283" s="244"/>
      <c r="X283" s="244"/>
      <c r="Y283" s="244"/>
      <c r="Z283" s="244"/>
      <c r="AA283" s="244"/>
      <c r="AB283" s="244"/>
      <c r="AC283" s="244"/>
      <c r="AD283" s="244"/>
      <c r="AE283" s="244"/>
      <c r="AF283" s="244"/>
      <c r="AG283" s="244"/>
      <c r="AH283" s="244"/>
      <c r="AI283" s="244"/>
      <c r="AJ283" s="244"/>
      <c r="AK283" s="244"/>
      <c r="AL283" s="244"/>
      <c r="AM283" s="244"/>
      <c r="AN283" s="244"/>
    </row>
    <row r="284" spans="1:40" x14ac:dyDescent="0.2">
      <c r="A284" s="298"/>
      <c r="B284" s="298"/>
      <c r="C284" s="298"/>
      <c r="D284" s="298"/>
      <c r="E284" s="298"/>
      <c r="F284" s="298"/>
      <c r="G284" s="298"/>
      <c r="H284" s="298"/>
      <c r="I284" s="298"/>
      <c r="J284" s="298"/>
      <c r="K284" s="298"/>
      <c r="L284" s="298"/>
      <c r="M284" s="298"/>
      <c r="N284" s="298"/>
      <c r="O284" s="298"/>
      <c r="P284" s="298"/>
      <c r="Q284" s="298"/>
      <c r="R284" s="298"/>
      <c r="T284" s="244"/>
      <c r="U284" s="244"/>
      <c r="V284" s="244"/>
      <c r="W284" s="244"/>
      <c r="X284" s="244"/>
      <c r="Y284" s="244"/>
      <c r="Z284" s="244"/>
      <c r="AA284" s="244"/>
      <c r="AB284" s="244"/>
      <c r="AC284" s="244"/>
      <c r="AD284" s="244"/>
      <c r="AE284" s="244"/>
      <c r="AF284" s="244"/>
      <c r="AG284" s="244"/>
      <c r="AH284" s="244"/>
      <c r="AI284" s="244"/>
      <c r="AJ284" s="244"/>
      <c r="AK284" s="244"/>
      <c r="AL284" s="244"/>
      <c r="AM284" s="244"/>
      <c r="AN284" s="244"/>
    </row>
    <row r="285" spans="1:40" x14ac:dyDescent="0.2">
      <c r="A285" s="298"/>
      <c r="B285" s="298"/>
      <c r="C285" s="298"/>
      <c r="D285" s="298"/>
      <c r="E285" s="298"/>
      <c r="F285" s="298"/>
      <c r="G285" s="298"/>
      <c r="H285" s="298"/>
      <c r="I285" s="298"/>
      <c r="J285" s="298"/>
      <c r="K285" s="298"/>
      <c r="L285" s="298"/>
      <c r="M285" s="298"/>
      <c r="N285" s="298"/>
      <c r="O285" s="298"/>
      <c r="P285" s="298"/>
      <c r="Q285" s="298"/>
      <c r="R285" s="298"/>
      <c r="T285" s="244"/>
      <c r="U285" s="244"/>
      <c r="V285" s="244"/>
      <c r="W285" s="244"/>
      <c r="X285" s="244"/>
      <c r="Y285" s="244"/>
      <c r="Z285" s="244"/>
      <c r="AA285" s="244"/>
      <c r="AB285" s="244"/>
      <c r="AC285" s="244"/>
      <c r="AD285" s="244"/>
      <c r="AE285" s="244"/>
      <c r="AF285" s="244"/>
      <c r="AG285" s="244"/>
      <c r="AH285" s="244"/>
      <c r="AI285" s="244"/>
      <c r="AJ285" s="244"/>
      <c r="AK285" s="244"/>
      <c r="AL285" s="244"/>
      <c r="AM285" s="244"/>
      <c r="AN285" s="244"/>
    </row>
    <row r="286" spans="1:40" x14ac:dyDescent="0.2">
      <c r="A286" s="298"/>
      <c r="B286" s="298"/>
      <c r="C286" s="298"/>
      <c r="D286" s="298"/>
      <c r="E286" s="298"/>
      <c r="F286" s="298"/>
      <c r="G286" s="298"/>
      <c r="H286" s="298"/>
      <c r="I286" s="298"/>
      <c r="J286" s="298"/>
      <c r="K286" s="298"/>
      <c r="L286" s="298"/>
      <c r="M286" s="298"/>
      <c r="N286" s="298"/>
      <c r="O286" s="298"/>
      <c r="P286" s="298"/>
      <c r="Q286" s="298"/>
      <c r="R286" s="298"/>
      <c r="T286" s="244"/>
      <c r="U286" s="244"/>
      <c r="V286" s="244"/>
      <c r="W286" s="244"/>
      <c r="X286" s="244"/>
      <c r="Y286" s="244"/>
      <c r="Z286" s="244"/>
      <c r="AA286" s="244"/>
      <c r="AB286" s="244"/>
      <c r="AC286" s="244"/>
      <c r="AD286" s="244"/>
      <c r="AE286" s="244"/>
      <c r="AF286" s="244"/>
      <c r="AG286" s="244"/>
      <c r="AH286" s="244"/>
      <c r="AI286" s="244"/>
      <c r="AJ286" s="244"/>
      <c r="AK286" s="244"/>
      <c r="AL286" s="244"/>
      <c r="AM286" s="244"/>
      <c r="AN286" s="244"/>
    </row>
    <row r="287" spans="1:40" x14ac:dyDescent="0.2">
      <c r="A287" s="298"/>
      <c r="B287" s="298"/>
      <c r="C287" s="298"/>
      <c r="D287" s="298"/>
      <c r="E287" s="298"/>
      <c r="F287" s="298"/>
      <c r="G287" s="298"/>
      <c r="H287" s="298"/>
      <c r="I287" s="298"/>
      <c r="J287" s="298"/>
      <c r="K287" s="298"/>
      <c r="L287" s="298"/>
      <c r="M287" s="298"/>
      <c r="N287" s="298"/>
      <c r="O287" s="298"/>
      <c r="P287" s="298"/>
      <c r="Q287" s="298"/>
      <c r="R287" s="298"/>
      <c r="T287" s="244"/>
      <c r="U287" s="244"/>
      <c r="V287" s="244"/>
      <c r="W287" s="244"/>
      <c r="X287" s="244"/>
      <c r="Y287" s="244"/>
      <c r="Z287" s="244"/>
      <c r="AA287" s="244"/>
      <c r="AB287" s="244"/>
      <c r="AC287" s="244"/>
      <c r="AD287" s="244"/>
      <c r="AE287" s="244"/>
      <c r="AF287" s="244"/>
      <c r="AG287" s="244"/>
      <c r="AH287" s="244"/>
      <c r="AI287" s="244"/>
      <c r="AJ287" s="244"/>
      <c r="AK287" s="244"/>
      <c r="AL287" s="244"/>
      <c r="AM287" s="244"/>
      <c r="AN287" s="244"/>
    </row>
    <row r="288" spans="1:40" x14ac:dyDescent="0.2">
      <c r="A288" s="298"/>
      <c r="B288" s="298"/>
      <c r="C288" s="298"/>
      <c r="D288" s="298"/>
      <c r="E288" s="298"/>
      <c r="F288" s="298"/>
      <c r="G288" s="298"/>
      <c r="H288" s="298"/>
      <c r="I288" s="298"/>
      <c r="J288" s="298"/>
      <c r="K288" s="298"/>
      <c r="L288" s="298"/>
      <c r="M288" s="298"/>
      <c r="N288" s="298"/>
      <c r="O288" s="298"/>
      <c r="P288" s="298"/>
      <c r="Q288" s="298"/>
      <c r="R288" s="298"/>
      <c r="T288" s="244"/>
      <c r="U288" s="244"/>
      <c r="V288" s="244"/>
      <c r="W288" s="244"/>
      <c r="X288" s="244"/>
      <c r="Y288" s="244"/>
      <c r="Z288" s="244"/>
      <c r="AA288" s="244"/>
      <c r="AB288" s="244"/>
      <c r="AC288" s="244"/>
      <c r="AD288" s="244"/>
      <c r="AE288" s="244"/>
      <c r="AF288" s="244"/>
      <c r="AG288" s="244"/>
      <c r="AH288" s="244"/>
      <c r="AI288" s="244"/>
      <c r="AJ288" s="244"/>
      <c r="AK288" s="244"/>
      <c r="AL288" s="244"/>
      <c r="AM288" s="244"/>
      <c r="AN288" s="244"/>
    </row>
    <row r="289" spans="1:40" x14ac:dyDescent="0.2">
      <c r="A289" s="298"/>
      <c r="B289" s="298"/>
      <c r="C289" s="298"/>
      <c r="D289" s="298"/>
      <c r="E289" s="298"/>
      <c r="F289" s="298"/>
      <c r="G289" s="298"/>
      <c r="H289" s="298"/>
      <c r="I289" s="298"/>
      <c r="J289" s="298"/>
      <c r="K289" s="298"/>
      <c r="L289" s="298"/>
      <c r="M289" s="298"/>
      <c r="N289" s="298"/>
      <c r="O289" s="298"/>
      <c r="P289" s="298"/>
      <c r="Q289" s="298"/>
      <c r="R289" s="298"/>
      <c r="T289" s="244"/>
      <c r="U289" s="244"/>
      <c r="V289" s="244"/>
      <c r="W289" s="244"/>
      <c r="X289" s="244"/>
      <c r="Y289" s="244"/>
      <c r="Z289" s="244"/>
      <c r="AA289" s="244"/>
      <c r="AB289" s="244"/>
      <c r="AC289" s="244"/>
      <c r="AD289" s="244"/>
      <c r="AE289" s="244"/>
      <c r="AF289" s="244"/>
      <c r="AG289" s="244"/>
      <c r="AH289" s="244"/>
      <c r="AI289" s="244"/>
      <c r="AJ289" s="244"/>
      <c r="AK289" s="244"/>
      <c r="AL289" s="244"/>
      <c r="AM289" s="244"/>
      <c r="AN289" s="244"/>
    </row>
    <row r="290" spans="1:40" x14ac:dyDescent="0.2">
      <c r="A290" s="298"/>
      <c r="B290" s="298"/>
      <c r="C290" s="298"/>
      <c r="D290" s="298"/>
      <c r="E290" s="298"/>
      <c r="F290" s="298"/>
      <c r="G290" s="298"/>
      <c r="H290" s="298"/>
      <c r="I290" s="298"/>
      <c r="J290" s="298"/>
      <c r="K290" s="298"/>
      <c r="L290" s="298"/>
      <c r="M290" s="298"/>
      <c r="N290" s="298"/>
      <c r="O290" s="298"/>
      <c r="P290" s="298"/>
      <c r="Q290" s="298"/>
      <c r="R290" s="298"/>
      <c r="T290" s="244"/>
      <c r="U290" s="244"/>
      <c r="V290" s="244"/>
      <c r="W290" s="244"/>
      <c r="X290" s="244"/>
      <c r="Y290" s="244"/>
      <c r="Z290" s="244"/>
      <c r="AA290" s="244"/>
      <c r="AB290" s="244"/>
      <c r="AC290" s="244"/>
      <c r="AD290" s="244"/>
      <c r="AE290" s="244"/>
      <c r="AF290" s="244"/>
      <c r="AG290" s="244"/>
      <c r="AH290" s="244"/>
      <c r="AI290" s="244"/>
      <c r="AJ290" s="244"/>
      <c r="AK290" s="244"/>
      <c r="AL290" s="244"/>
      <c r="AM290" s="244"/>
      <c r="AN290" s="244"/>
    </row>
    <row r="291" spans="1:40" x14ac:dyDescent="0.2">
      <c r="A291" s="298"/>
      <c r="B291" s="298"/>
      <c r="C291" s="298"/>
      <c r="D291" s="298"/>
      <c r="E291" s="298"/>
      <c r="F291" s="298"/>
      <c r="G291" s="298"/>
      <c r="H291" s="298"/>
      <c r="I291" s="298"/>
      <c r="J291" s="298"/>
      <c r="K291" s="298"/>
      <c r="L291" s="298"/>
      <c r="M291" s="298"/>
      <c r="N291" s="298"/>
      <c r="O291" s="298"/>
      <c r="P291" s="298"/>
      <c r="Q291" s="298"/>
      <c r="R291" s="298"/>
    </row>
    <row r="292" spans="1:40" x14ac:dyDescent="0.2">
      <c r="A292" s="298"/>
      <c r="B292" s="298"/>
      <c r="C292" s="298"/>
      <c r="D292" s="298"/>
      <c r="E292" s="298"/>
      <c r="F292" s="298"/>
      <c r="G292" s="298"/>
      <c r="H292" s="298"/>
      <c r="I292" s="298"/>
      <c r="J292" s="298"/>
      <c r="K292" s="298"/>
      <c r="L292" s="298"/>
      <c r="M292" s="298"/>
      <c r="N292" s="298"/>
      <c r="O292" s="298"/>
      <c r="P292" s="298"/>
      <c r="Q292" s="298"/>
      <c r="R292" s="298"/>
    </row>
    <row r="293" spans="1:40" x14ac:dyDescent="0.2">
      <c r="A293" s="298"/>
      <c r="B293" s="298"/>
      <c r="C293" s="298"/>
      <c r="D293" s="298"/>
      <c r="E293" s="298"/>
      <c r="F293" s="298"/>
      <c r="G293" s="298"/>
      <c r="H293" s="298"/>
      <c r="I293" s="298"/>
      <c r="J293" s="298"/>
      <c r="K293" s="298"/>
      <c r="L293" s="298"/>
      <c r="M293" s="298"/>
      <c r="N293" s="298"/>
      <c r="O293" s="298"/>
      <c r="P293" s="298"/>
      <c r="Q293" s="298"/>
      <c r="R293" s="298"/>
    </row>
    <row r="294" spans="1:40" x14ac:dyDescent="0.2">
      <c r="A294" s="298"/>
      <c r="B294" s="298"/>
      <c r="C294" s="298"/>
      <c r="D294" s="298"/>
      <c r="E294" s="298"/>
      <c r="F294" s="298"/>
      <c r="G294" s="298"/>
      <c r="H294" s="298"/>
      <c r="I294" s="298"/>
      <c r="J294" s="298"/>
      <c r="K294" s="298"/>
      <c r="L294" s="298"/>
      <c r="M294" s="298"/>
      <c r="N294" s="298"/>
      <c r="O294" s="298"/>
      <c r="P294" s="298"/>
      <c r="Q294" s="298"/>
      <c r="R294" s="298"/>
    </row>
    <row r="295" spans="1:40" x14ac:dyDescent="0.2">
      <c r="A295" s="298"/>
      <c r="B295" s="298"/>
      <c r="C295" s="298"/>
      <c r="D295" s="298"/>
      <c r="E295" s="298"/>
      <c r="F295" s="298"/>
      <c r="G295" s="298"/>
      <c r="H295" s="298"/>
      <c r="I295" s="298"/>
      <c r="J295" s="298"/>
      <c r="K295" s="298"/>
      <c r="L295" s="298"/>
      <c r="M295" s="298"/>
      <c r="N295" s="298"/>
      <c r="O295" s="298"/>
      <c r="P295" s="298"/>
      <c r="Q295" s="298"/>
      <c r="R295" s="298"/>
    </row>
    <row r="296" spans="1:40" x14ac:dyDescent="0.2">
      <c r="A296" s="298"/>
      <c r="B296" s="298"/>
      <c r="C296" s="298"/>
      <c r="D296" s="298"/>
      <c r="E296" s="298"/>
      <c r="F296" s="298"/>
      <c r="G296" s="298"/>
      <c r="H296" s="298"/>
      <c r="I296" s="298"/>
      <c r="J296" s="298"/>
      <c r="K296" s="298"/>
      <c r="L296" s="298"/>
      <c r="M296" s="298"/>
      <c r="N296" s="298"/>
      <c r="O296" s="298"/>
      <c r="P296" s="298"/>
      <c r="Q296" s="298"/>
      <c r="R296" s="298"/>
    </row>
    <row r="297" spans="1:40" x14ac:dyDescent="0.2">
      <c r="A297" s="298"/>
      <c r="B297" s="298"/>
      <c r="C297" s="298"/>
      <c r="D297" s="298"/>
      <c r="E297" s="298"/>
      <c r="F297" s="298"/>
      <c r="G297" s="298"/>
      <c r="H297" s="298"/>
      <c r="I297" s="298"/>
      <c r="J297" s="298"/>
      <c r="K297" s="298"/>
      <c r="L297" s="298"/>
      <c r="M297" s="298"/>
      <c r="N297" s="298"/>
      <c r="O297" s="298"/>
      <c r="P297" s="298"/>
      <c r="Q297" s="298"/>
      <c r="R297" s="298"/>
    </row>
    <row r="298" spans="1:40" x14ac:dyDescent="0.2">
      <c r="A298" s="298"/>
      <c r="B298" s="298"/>
      <c r="C298" s="298"/>
      <c r="D298" s="298"/>
      <c r="E298" s="298"/>
      <c r="F298" s="298"/>
      <c r="G298" s="298"/>
      <c r="H298" s="298"/>
      <c r="I298" s="298"/>
      <c r="J298" s="298"/>
      <c r="K298" s="298"/>
      <c r="L298" s="298"/>
      <c r="M298" s="298"/>
      <c r="N298" s="298"/>
      <c r="O298" s="298"/>
      <c r="P298" s="298"/>
      <c r="Q298" s="298"/>
      <c r="R298" s="298"/>
    </row>
    <row r="299" spans="1:40" x14ac:dyDescent="0.2">
      <c r="A299" s="298"/>
      <c r="B299" s="298"/>
      <c r="C299" s="298"/>
      <c r="D299" s="298"/>
      <c r="E299" s="298"/>
      <c r="F299" s="298"/>
      <c r="G299" s="298"/>
      <c r="H299" s="298"/>
      <c r="I299" s="298"/>
      <c r="J299" s="298"/>
      <c r="K299" s="298"/>
      <c r="L299" s="298"/>
      <c r="M299" s="298"/>
      <c r="N299" s="298"/>
      <c r="O299" s="298"/>
      <c r="P299" s="298"/>
      <c r="Q299" s="298"/>
      <c r="R299" s="298"/>
    </row>
    <row r="300" spans="1:40" x14ac:dyDescent="0.2">
      <c r="A300" s="298"/>
      <c r="B300" s="298"/>
      <c r="C300" s="298"/>
      <c r="D300" s="298"/>
      <c r="E300" s="298"/>
      <c r="F300" s="298"/>
      <c r="G300" s="298"/>
      <c r="H300" s="298"/>
      <c r="I300" s="298"/>
      <c r="J300" s="298"/>
      <c r="K300" s="298"/>
      <c r="L300" s="298"/>
      <c r="M300" s="298"/>
      <c r="N300" s="298"/>
      <c r="O300" s="298"/>
      <c r="P300" s="298"/>
      <c r="Q300" s="298"/>
      <c r="R300" s="298"/>
    </row>
    <row r="301" spans="1:40" x14ac:dyDescent="0.2">
      <c r="A301" s="298"/>
      <c r="B301" s="298"/>
      <c r="C301" s="298"/>
      <c r="D301" s="298"/>
      <c r="E301" s="298"/>
      <c r="F301" s="298"/>
      <c r="G301" s="298"/>
      <c r="H301" s="298"/>
      <c r="I301" s="298"/>
      <c r="J301" s="298"/>
      <c r="K301" s="298"/>
      <c r="L301" s="298"/>
      <c r="M301" s="298"/>
      <c r="N301" s="298"/>
      <c r="O301" s="298"/>
      <c r="P301" s="298"/>
      <c r="Q301" s="298"/>
      <c r="R301" s="298"/>
    </row>
    <row r="302" spans="1:40" x14ac:dyDescent="0.2">
      <c r="A302" s="298"/>
      <c r="B302" s="298"/>
      <c r="C302" s="298"/>
      <c r="D302" s="298"/>
      <c r="E302" s="298"/>
      <c r="F302" s="298"/>
      <c r="G302" s="298"/>
      <c r="H302" s="298"/>
      <c r="I302" s="298"/>
      <c r="J302" s="298"/>
      <c r="K302" s="298"/>
      <c r="L302" s="298"/>
      <c r="M302" s="298"/>
      <c r="N302" s="298"/>
      <c r="O302" s="298"/>
      <c r="P302" s="298"/>
      <c r="Q302" s="298"/>
      <c r="R302" s="298"/>
    </row>
    <row r="303" spans="1:40" x14ac:dyDescent="0.2">
      <c r="A303" s="298"/>
      <c r="B303" s="298"/>
      <c r="C303" s="298"/>
      <c r="D303" s="298"/>
      <c r="E303" s="298"/>
      <c r="F303" s="298"/>
      <c r="G303" s="298"/>
      <c r="H303" s="298"/>
      <c r="I303" s="298"/>
      <c r="J303" s="298"/>
      <c r="K303" s="298"/>
      <c r="L303" s="298"/>
      <c r="M303" s="298"/>
      <c r="N303" s="298"/>
      <c r="O303" s="298"/>
      <c r="P303" s="298"/>
      <c r="Q303" s="298"/>
      <c r="R303" s="298"/>
    </row>
    <row r="304" spans="1:40" x14ac:dyDescent="0.2">
      <c r="A304" s="298"/>
      <c r="B304" s="298"/>
      <c r="C304" s="298"/>
      <c r="D304" s="298"/>
      <c r="E304" s="298"/>
      <c r="F304" s="298"/>
      <c r="G304" s="298"/>
      <c r="H304" s="298"/>
      <c r="I304" s="298"/>
      <c r="J304" s="298"/>
      <c r="K304" s="298"/>
      <c r="L304" s="298"/>
      <c r="M304" s="298"/>
      <c r="N304" s="298"/>
      <c r="O304" s="298"/>
      <c r="P304" s="298"/>
      <c r="Q304" s="298"/>
      <c r="R304" s="298"/>
    </row>
    <row r="305" spans="1:18" x14ac:dyDescent="0.2">
      <c r="A305" s="298"/>
      <c r="B305" s="298"/>
      <c r="C305" s="298"/>
      <c r="D305" s="298"/>
      <c r="E305" s="298"/>
      <c r="F305" s="298"/>
      <c r="G305" s="298"/>
      <c r="H305" s="298"/>
      <c r="I305" s="298"/>
      <c r="J305" s="298"/>
      <c r="K305" s="298"/>
      <c r="L305" s="298"/>
      <c r="M305" s="298"/>
      <c r="N305" s="298"/>
      <c r="O305" s="298"/>
      <c r="P305" s="298"/>
      <c r="Q305" s="298"/>
      <c r="R305" s="298"/>
    </row>
    <row r="306" spans="1:18" x14ac:dyDescent="0.2">
      <c r="A306" s="298"/>
      <c r="B306" s="298"/>
      <c r="C306" s="298"/>
      <c r="D306" s="298"/>
      <c r="E306" s="298"/>
      <c r="F306" s="298"/>
      <c r="G306" s="298"/>
      <c r="H306" s="298"/>
      <c r="I306" s="298"/>
      <c r="J306" s="298"/>
      <c r="K306" s="298"/>
      <c r="L306" s="298"/>
      <c r="M306" s="298"/>
      <c r="N306" s="298"/>
      <c r="O306" s="298"/>
      <c r="P306" s="298"/>
      <c r="Q306" s="298"/>
      <c r="R306" s="298"/>
    </row>
    <row r="307" spans="1:18" x14ac:dyDescent="0.2">
      <c r="A307" s="298"/>
      <c r="B307" s="298"/>
      <c r="C307" s="298"/>
      <c r="D307" s="298"/>
      <c r="E307" s="298"/>
      <c r="F307" s="298"/>
      <c r="G307" s="298"/>
      <c r="H307" s="298"/>
      <c r="I307" s="298"/>
      <c r="J307" s="298"/>
      <c r="K307" s="298"/>
      <c r="L307" s="298"/>
      <c r="M307" s="298"/>
      <c r="N307" s="298"/>
      <c r="O307" s="298"/>
      <c r="P307" s="298"/>
      <c r="Q307" s="298"/>
      <c r="R307" s="298"/>
    </row>
    <row r="308" spans="1:18" x14ac:dyDescent="0.2">
      <c r="A308" s="298"/>
      <c r="B308" s="298"/>
      <c r="C308" s="298"/>
      <c r="D308" s="298"/>
      <c r="E308" s="298"/>
      <c r="F308" s="298"/>
      <c r="G308" s="298"/>
      <c r="H308" s="298"/>
      <c r="I308" s="298"/>
      <c r="J308" s="298"/>
      <c r="K308" s="298"/>
      <c r="L308" s="298"/>
      <c r="M308" s="298"/>
      <c r="N308" s="298"/>
      <c r="O308" s="298"/>
      <c r="P308" s="298"/>
      <c r="Q308" s="298"/>
      <c r="R308" s="298"/>
    </row>
    <row r="309" spans="1:18" x14ac:dyDescent="0.2">
      <c r="A309" s="298"/>
      <c r="B309" s="298"/>
      <c r="C309" s="298"/>
      <c r="D309" s="298"/>
      <c r="E309" s="298"/>
      <c r="F309" s="298"/>
      <c r="G309" s="298"/>
      <c r="H309" s="298"/>
      <c r="I309" s="298"/>
      <c r="J309" s="298"/>
      <c r="K309" s="298"/>
      <c r="L309" s="298"/>
      <c r="M309" s="298"/>
      <c r="N309" s="298"/>
      <c r="O309" s="298"/>
      <c r="P309" s="298"/>
      <c r="Q309" s="298"/>
      <c r="R309" s="298"/>
    </row>
    <row r="310" spans="1:18" x14ac:dyDescent="0.2">
      <c r="A310" s="298"/>
      <c r="B310" s="298"/>
      <c r="C310" s="298"/>
      <c r="D310" s="298"/>
      <c r="E310" s="298"/>
      <c r="F310" s="298"/>
      <c r="G310" s="298"/>
      <c r="H310" s="298"/>
      <c r="I310" s="298"/>
      <c r="J310" s="298"/>
      <c r="K310" s="298"/>
      <c r="L310" s="298"/>
      <c r="M310" s="298"/>
      <c r="N310" s="298"/>
      <c r="O310" s="298"/>
      <c r="P310" s="298"/>
      <c r="Q310" s="298"/>
      <c r="R310" s="298"/>
    </row>
    <row r="311" spans="1:18" x14ac:dyDescent="0.2">
      <c r="A311" s="298"/>
      <c r="B311" s="298"/>
      <c r="C311" s="298"/>
      <c r="D311" s="298"/>
      <c r="E311" s="298"/>
      <c r="F311" s="298"/>
      <c r="G311" s="298"/>
      <c r="H311" s="298"/>
      <c r="I311" s="298"/>
      <c r="J311" s="298"/>
      <c r="K311" s="298"/>
      <c r="L311" s="298"/>
      <c r="M311" s="298"/>
      <c r="N311" s="298"/>
      <c r="O311" s="298"/>
      <c r="P311" s="298"/>
      <c r="Q311" s="298"/>
      <c r="R311" s="298"/>
    </row>
    <row r="312" spans="1:18" x14ac:dyDescent="0.2">
      <c r="A312" s="298"/>
      <c r="B312" s="298"/>
      <c r="C312" s="298"/>
      <c r="D312" s="298"/>
      <c r="E312" s="298"/>
      <c r="F312" s="298"/>
      <c r="G312" s="298"/>
      <c r="H312" s="298"/>
      <c r="I312" s="298"/>
      <c r="J312" s="298"/>
      <c r="K312" s="298"/>
      <c r="L312" s="298"/>
      <c r="M312" s="298"/>
      <c r="N312" s="298"/>
      <c r="O312" s="298"/>
      <c r="P312" s="298"/>
      <c r="Q312" s="298"/>
      <c r="R312" s="298"/>
    </row>
    <row r="313" spans="1:18" x14ac:dyDescent="0.2">
      <c r="A313" s="298"/>
      <c r="B313" s="298"/>
      <c r="C313" s="298"/>
      <c r="D313" s="298"/>
      <c r="E313" s="298"/>
      <c r="F313" s="298"/>
      <c r="G313" s="298"/>
      <c r="H313" s="298"/>
      <c r="I313" s="298"/>
      <c r="J313" s="298"/>
      <c r="K313" s="298"/>
      <c r="L313" s="298"/>
      <c r="M313" s="298"/>
      <c r="N313" s="298"/>
      <c r="O313" s="298"/>
      <c r="P313" s="298"/>
      <c r="Q313" s="298"/>
      <c r="R313" s="298"/>
    </row>
    <row r="314" spans="1:18" x14ac:dyDescent="0.2">
      <c r="A314" s="298"/>
      <c r="B314" s="298"/>
      <c r="C314" s="298"/>
      <c r="D314" s="298"/>
      <c r="E314" s="298"/>
      <c r="F314" s="298"/>
      <c r="G314" s="298"/>
      <c r="H314" s="298"/>
      <c r="I314" s="298"/>
      <c r="J314" s="298"/>
      <c r="K314" s="298"/>
      <c r="L314" s="298"/>
      <c r="M314" s="298"/>
      <c r="N314" s="298"/>
      <c r="O314" s="298"/>
      <c r="P314" s="298"/>
      <c r="Q314" s="298"/>
      <c r="R314" s="298"/>
    </row>
    <row r="315" spans="1:18" x14ac:dyDescent="0.2">
      <c r="A315" s="298"/>
      <c r="B315" s="298"/>
      <c r="C315" s="298"/>
      <c r="D315" s="298"/>
      <c r="E315" s="298"/>
      <c r="F315" s="298"/>
      <c r="G315" s="298"/>
      <c r="H315" s="298"/>
      <c r="I315" s="298"/>
      <c r="J315" s="298"/>
      <c r="K315" s="298"/>
      <c r="L315" s="298"/>
      <c r="M315" s="298"/>
      <c r="N315" s="298"/>
      <c r="O315" s="298"/>
      <c r="P315" s="298"/>
      <c r="Q315" s="298"/>
      <c r="R315" s="298"/>
    </row>
    <row r="316" spans="1:18" x14ac:dyDescent="0.2">
      <c r="A316" s="298"/>
      <c r="B316" s="298"/>
      <c r="C316" s="298"/>
      <c r="D316" s="298"/>
      <c r="E316" s="298"/>
      <c r="F316" s="298"/>
      <c r="G316" s="298"/>
      <c r="H316" s="298"/>
      <c r="I316" s="298"/>
      <c r="J316" s="298"/>
      <c r="K316" s="298"/>
      <c r="L316" s="298"/>
      <c r="M316" s="298"/>
      <c r="N316" s="298"/>
      <c r="O316" s="298"/>
      <c r="P316" s="298"/>
      <c r="Q316" s="298"/>
      <c r="R316" s="298"/>
    </row>
    <row r="317" spans="1:18" x14ac:dyDescent="0.2">
      <c r="A317" s="298"/>
      <c r="B317" s="298"/>
      <c r="C317" s="298"/>
      <c r="D317" s="298"/>
      <c r="E317" s="298"/>
      <c r="F317" s="298"/>
      <c r="G317" s="298"/>
      <c r="H317" s="298"/>
      <c r="I317" s="298"/>
      <c r="J317" s="298"/>
      <c r="K317" s="298"/>
      <c r="L317" s="298"/>
      <c r="M317" s="298"/>
      <c r="N317" s="298"/>
      <c r="O317" s="298"/>
      <c r="P317" s="298"/>
      <c r="Q317" s="298"/>
      <c r="R317" s="298"/>
    </row>
    <row r="318" spans="1:18" x14ac:dyDescent="0.2">
      <c r="A318" s="298"/>
      <c r="B318" s="298"/>
      <c r="C318" s="298"/>
      <c r="D318" s="298"/>
      <c r="E318" s="298"/>
      <c r="F318" s="298"/>
      <c r="G318" s="298"/>
      <c r="H318" s="298"/>
      <c r="I318" s="298"/>
      <c r="J318" s="298"/>
      <c r="K318" s="298"/>
      <c r="L318" s="298"/>
      <c r="M318" s="298"/>
      <c r="N318" s="298"/>
      <c r="O318" s="298"/>
      <c r="P318" s="298"/>
      <c r="Q318" s="298"/>
      <c r="R318" s="298"/>
    </row>
    <row r="319" spans="1:18" x14ac:dyDescent="0.2">
      <c r="A319" s="298"/>
      <c r="B319" s="298"/>
      <c r="C319" s="298"/>
      <c r="D319" s="298"/>
      <c r="E319" s="298"/>
      <c r="F319" s="298"/>
      <c r="G319" s="298"/>
      <c r="H319" s="298"/>
      <c r="I319" s="298"/>
      <c r="J319" s="298"/>
      <c r="K319" s="298"/>
      <c r="L319" s="298"/>
      <c r="M319" s="298"/>
      <c r="N319" s="298"/>
      <c r="O319" s="298"/>
      <c r="P319" s="298"/>
      <c r="Q319" s="298"/>
      <c r="R319" s="298"/>
    </row>
    <row r="320" spans="1:18" x14ac:dyDescent="0.2">
      <c r="A320" s="298"/>
      <c r="B320" s="298"/>
      <c r="C320" s="298"/>
      <c r="D320" s="298"/>
      <c r="E320" s="298"/>
      <c r="F320" s="298"/>
      <c r="G320" s="298"/>
      <c r="H320" s="298"/>
      <c r="I320" s="298"/>
      <c r="J320" s="298"/>
      <c r="K320" s="298"/>
      <c r="L320" s="298"/>
      <c r="M320" s="298"/>
      <c r="N320" s="298"/>
      <c r="O320" s="298"/>
      <c r="P320" s="298"/>
      <c r="Q320" s="298"/>
      <c r="R320" s="298"/>
    </row>
    <row r="321" spans="1:18" x14ac:dyDescent="0.2">
      <c r="A321" s="298"/>
      <c r="B321" s="298"/>
      <c r="C321" s="298"/>
      <c r="D321" s="298"/>
      <c r="E321" s="298"/>
      <c r="F321" s="298"/>
      <c r="G321" s="298"/>
      <c r="H321" s="298"/>
      <c r="I321" s="298"/>
      <c r="J321" s="298"/>
      <c r="K321" s="298"/>
      <c r="L321" s="298"/>
      <c r="M321" s="298"/>
      <c r="N321" s="298"/>
      <c r="O321" s="298"/>
      <c r="P321" s="298"/>
      <c r="Q321" s="298"/>
      <c r="R321" s="298"/>
    </row>
    <row r="322" spans="1:18" x14ac:dyDescent="0.2">
      <c r="A322" s="298"/>
      <c r="B322" s="298"/>
      <c r="C322" s="298"/>
      <c r="D322" s="298"/>
      <c r="E322" s="298"/>
      <c r="F322" s="298"/>
      <c r="G322" s="298"/>
      <c r="H322" s="298"/>
      <c r="I322" s="298"/>
      <c r="J322" s="298"/>
      <c r="K322" s="298"/>
      <c r="L322" s="298"/>
      <c r="M322" s="298"/>
      <c r="N322" s="298"/>
      <c r="O322" s="298"/>
      <c r="P322" s="298"/>
      <c r="Q322" s="298"/>
      <c r="R322" s="298"/>
    </row>
    <row r="323" spans="1:18" x14ac:dyDescent="0.2">
      <c r="A323" s="298"/>
      <c r="B323" s="298"/>
      <c r="C323" s="298"/>
      <c r="D323" s="298"/>
      <c r="E323" s="298"/>
      <c r="F323" s="298"/>
      <c r="G323" s="298"/>
      <c r="H323" s="298"/>
      <c r="I323" s="298"/>
      <c r="J323" s="298"/>
      <c r="K323" s="298"/>
      <c r="L323" s="298"/>
      <c r="M323" s="298"/>
      <c r="N323" s="298"/>
      <c r="O323" s="298"/>
      <c r="P323" s="298"/>
      <c r="Q323" s="298"/>
      <c r="R323" s="298"/>
    </row>
    <row r="324" spans="1:18" x14ac:dyDescent="0.2">
      <c r="A324" s="298"/>
      <c r="B324" s="298"/>
      <c r="C324" s="298"/>
      <c r="D324" s="298"/>
      <c r="E324" s="298"/>
      <c r="F324" s="298"/>
      <c r="G324" s="298"/>
      <c r="H324" s="298"/>
      <c r="I324" s="298"/>
      <c r="J324" s="298"/>
      <c r="K324" s="298"/>
      <c r="L324" s="298"/>
      <c r="M324" s="298"/>
      <c r="N324" s="298"/>
      <c r="O324" s="298"/>
      <c r="P324" s="298"/>
      <c r="Q324" s="298"/>
      <c r="R324" s="298"/>
    </row>
    <row r="325" spans="1:18" x14ac:dyDescent="0.2">
      <c r="A325" s="298"/>
      <c r="B325" s="298"/>
      <c r="C325" s="298"/>
      <c r="D325" s="298"/>
      <c r="E325" s="298"/>
      <c r="F325" s="298"/>
      <c r="G325" s="298"/>
      <c r="H325" s="298"/>
      <c r="I325" s="298"/>
      <c r="J325" s="298"/>
      <c r="K325" s="298"/>
      <c r="L325" s="298"/>
      <c r="M325" s="298"/>
      <c r="N325" s="298"/>
      <c r="O325" s="298"/>
      <c r="P325" s="298"/>
      <c r="Q325" s="298"/>
      <c r="R325" s="298"/>
    </row>
    <row r="326" spans="1:18" x14ac:dyDescent="0.2">
      <c r="A326" s="298"/>
      <c r="B326" s="298"/>
      <c r="C326" s="298"/>
      <c r="D326" s="298"/>
      <c r="E326" s="298"/>
      <c r="F326" s="298"/>
      <c r="G326" s="298"/>
      <c r="H326" s="298"/>
      <c r="I326" s="298"/>
      <c r="J326" s="298"/>
      <c r="K326" s="298"/>
      <c r="L326" s="298"/>
      <c r="M326" s="298"/>
      <c r="N326" s="298"/>
      <c r="O326" s="298"/>
      <c r="P326" s="298"/>
      <c r="Q326" s="298"/>
      <c r="R326" s="298"/>
    </row>
    <row r="327" spans="1:18" x14ac:dyDescent="0.2">
      <c r="A327" s="298"/>
      <c r="B327" s="298"/>
      <c r="C327" s="298"/>
      <c r="D327" s="298"/>
      <c r="E327" s="298"/>
      <c r="F327" s="298"/>
      <c r="G327" s="298"/>
      <c r="H327" s="298"/>
      <c r="I327" s="298"/>
      <c r="J327" s="298"/>
      <c r="K327" s="298"/>
      <c r="L327" s="298"/>
      <c r="M327" s="298"/>
      <c r="N327" s="298"/>
      <c r="O327" s="298"/>
      <c r="P327" s="298"/>
      <c r="Q327" s="298"/>
      <c r="R327" s="298"/>
    </row>
    <row r="328" spans="1:18" x14ac:dyDescent="0.2">
      <c r="A328" s="298"/>
      <c r="B328" s="298"/>
      <c r="C328" s="298"/>
      <c r="D328" s="298"/>
      <c r="E328" s="298"/>
      <c r="F328" s="298"/>
      <c r="G328" s="298"/>
      <c r="H328" s="298"/>
      <c r="I328" s="298"/>
      <c r="J328" s="298"/>
      <c r="K328" s="298"/>
      <c r="L328" s="298"/>
      <c r="M328" s="298"/>
      <c r="N328" s="298"/>
      <c r="O328" s="298"/>
      <c r="P328" s="298"/>
      <c r="Q328" s="298"/>
      <c r="R328" s="298"/>
    </row>
    <row r="329" spans="1:18" x14ac:dyDescent="0.2">
      <c r="A329" s="298"/>
      <c r="B329" s="298"/>
      <c r="C329" s="298"/>
      <c r="D329" s="298"/>
      <c r="E329" s="298"/>
      <c r="F329" s="298"/>
      <c r="G329" s="298"/>
      <c r="H329" s="298"/>
      <c r="I329" s="298"/>
      <c r="J329" s="298"/>
      <c r="K329" s="298"/>
      <c r="L329" s="298"/>
      <c r="M329" s="298"/>
      <c r="N329" s="298"/>
      <c r="O329" s="298"/>
      <c r="P329" s="298"/>
      <c r="Q329" s="298"/>
      <c r="R329" s="298"/>
    </row>
    <row r="330" spans="1:18" x14ac:dyDescent="0.2">
      <c r="A330" s="298"/>
      <c r="B330" s="298"/>
      <c r="C330" s="298"/>
      <c r="D330" s="298"/>
      <c r="E330" s="298"/>
      <c r="F330" s="298"/>
      <c r="G330" s="298"/>
      <c r="H330" s="298"/>
      <c r="I330" s="298"/>
      <c r="J330" s="298"/>
      <c r="K330" s="298"/>
      <c r="L330" s="298"/>
      <c r="M330" s="298"/>
      <c r="N330" s="298"/>
      <c r="O330" s="298"/>
      <c r="P330" s="298"/>
      <c r="Q330" s="298"/>
      <c r="R330" s="298"/>
    </row>
    <row r="331" spans="1:18" x14ac:dyDescent="0.2">
      <c r="A331" s="298"/>
      <c r="B331" s="298"/>
      <c r="C331" s="298"/>
      <c r="D331" s="298"/>
      <c r="E331" s="298"/>
      <c r="F331" s="298"/>
      <c r="G331" s="298"/>
      <c r="H331" s="298"/>
      <c r="I331" s="298"/>
      <c r="J331" s="298"/>
      <c r="K331" s="298"/>
      <c r="L331" s="298"/>
      <c r="M331" s="298"/>
      <c r="N331" s="298"/>
      <c r="O331" s="298"/>
      <c r="P331" s="298"/>
      <c r="Q331" s="298"/>
      <c r="R331" s="298"/>
    </row>
    <row r="332" spans="1:18" x14ac:dyDescent="0.2">
      <c r="A332" s="298"/>
      <c r="B332" s="298"/>
      <c r="C332" s="298"/>
      <c r="D332" s="298"/>
      <c r="E332" s="298"/>
      <c r="F332" s="298"/>
      <c r="G332" s="298"/>
      <c r="H332" s="298"/>
      <c r="I332" s="298"/>
      <c r="J332" s="298"/>
      <c r="K332" s="298"/>
      <c r="L332" s="298"/>
      <c r="M332" s="298"/>
      <c r="N332" s="298"/>
      <c r="O332" s="298"/>
      <c r="P332" s="298"/>
      <c r="Q332" s="298"/>
      <c r="R332" s="298"/>
    </row>
    <row r="333" spans="1:18" x14ac:dyDescent="0.2">
      <c r="A333" s="298"/>
      <c r="B333" s="298"/>
      <c r="C333" s="298"/>
      <c r="D333" s="298"/>
      <c r="E333" s="298"/>
      <c r="F333" s="298"/>
      <c r="G333" s="298"/>
      <c r="H333" s="298"/>
      <c r="I333" s="298"/>
      <c r="J333" s="298"/>
      <c r="K333" s="298"/>
      <c r="L333" s="298"/>
      <c r="M333" s="298"/>
      <c r="N333" s="298"/>
      <c r="O333" s="298"/>
      <c r="P333" s="298"/>
      <c r="Q333" s="298"/>
      <c r="R333" s="298"/>
    </row>
    <row r="334" spans="1:18" x14ac:dyDescent="0.2">
      <c r="A334" s="298"/>
      <c r="B334" s="298"/>
      <c r="C334" s="298"/>
      <c r="D334" s="298"/>
      <c r="E334" s="298"/>
      <c r="F334" s="298"/>
      <c r="G334" s="298"/>
      <c r="H334" s="298"/>
      <c r="I334" s="298"/>
      <c r="J334" s="298"/>
      <c r="K334" s="298"/>
      <c r="L334" s="298"/>
      <c r="M334" s="298"/>
      <c r="N334" s="298"/>
      <c r="O334" s="298"/>
      <c r="P334" s="298"/>
      <c r="Q334" s="298"/>
      <c r="R334" s="298"/>
    </row>
    <row r="335" spans="1:18" x14ac:dyDescent="0.2">
      <c r="A335" s="298"/>
      <c r="B335" s="298"/>
      <c r="C335" s="298"/>
      <c r="D335" s="298"/>
      <c r="E335" s="298"/>
      <c r="F335" s="298"/>
      <c r="G335" s="298"/>
      <c r="H335" s="298"/>
      <c r="I335" s="298"/>
      <c r="J335" s="298"/>
      <c r="K335" s="298"/>
      <c r="L335" s="298"/>
      <c r="M335" s="298"/>
      <c r="N335" s="298"/>
      <c r="O335" s="298"/>
      <c r="P335" s="298"/>
      <c r="Q335" s="298"/>
      <c r="R335" s="298"/>
    </row>
    <row r="336" spans="1:18" x14ac:dyDescent="0.2">
      <c r="A336" s="298"/>
      <c r="B336" s="298"/>
      <c r="C336" s="298"/>
      <c r="D336" s="298"/>
      <c r="E336" s="298"/>
      <c r="F336" s="298"/>
      <c r="G336" s="298"/>
      <c r="H336" s="298"/>
      <c r="I336" s="298"/>
      <c r="J336" s="298"/>
      <c r="K336" s="298"/>
      <c r="L336" s="298"/>
      <c r="M336" s="298"/>
      <c r="N336" s="298"/>
      <c r="O336" s="298"/>
      <c r="P336" s="298"/>
      <c r="Q336" s="298"/>
      <c r="R336" s="298"/>
    </row>
    <row r="337" spans="1:18" x14ac:dyDescent="0.2">
      <c r="A337" s="298"/>
      <c r="B337" s="298"/>
      <c r="C337" s="298"/>
      <c r="D337" s="298"/>
      <c r="E337" s="298"/>
      <c r="F337" s="298"/>
      <c r="G337" s="298"/>
      <c r="H337" s="298"/>
      <c r="I337" s="298"/>
      <c r="J337" s="298"/>
      <c r="K337" s="298"/>
      <c r="L337" s="298"/>
      <c r="M337" s="298"/>
      <c r="N337" s="298"/>
      <c r="O337" s="298"/>
      <c r="P337" s="298"/>
      <c r="Q337" s="298"/>
      <c r="R337" s="298"/>
    </row>
    <row r="338" spans="1:18" x14ac:dyDescent="0.2">
      <c r="A338" s="298"/>
      <c r="B338" s="298"/>
      <c r="C338" s="298"/>
      <c r="D338" s="298"/>
      <c r="E338" s="298"/>
      <c r="F338" s="298"/>
      <c r="G338" s="298"/>
      <c r="H338" s="298"/>
      <c r="I338" s="298"/>
      <c r="J338" s="298"/>
      <c r="K338" s="298"/>
      <c r="L338" s="298"/>
      <c r="M338" s="298"/>
      <c r="N338" s="298"/>
      <c r="O338" s="298"/>
      <c r="P338" s="298"/>
      <c r="Q338" s="298"/>
      <c r="R338" s="298"/>
    </row>
    <row r="339" spans="1:18" x14ac:dyDescent="0.2">
      <c r="A339" s="298"/>
      <c r="B339" s="298"/>
      <c r="C339" s="298"/>
      <c r="D339" s="298"/>
      <c r="E339" s="298"/>
      <c r="F339" s="298"/>
      <c r="G339" s="298"/>
      <c r="H339" s="298"/>
      <c r="I339" s="298"/>
      <c r="J339" s="298"/>
      <c r="K339" s="298"/>
      <c r="L339" s="298"/>
      <c r="M339" s="298"/>
      <c r="N339" s="298"/>
      <c r="O339" s="298"/>
      <c r="P339" s="298"/>
      <c r="Q339" s="298"/>
      <c r="R339" s="298"/>
    </row>
    <row r="340" spans="1:18" x14ac:dyDescent="0.2">
      <c r="A340" s="298"/>
      <c r="B340" s="298"/>
      <c r="C340" s="298"/>
      <c r="D340" s="298"/>
      <c r="E340" s="298"/>
      <c r="F340" s="298"/>
      <c r="G340" s="298"/>
      <c r="H340" s="298"/>
      <c r="I340" s="298"/>
      <c r="J340" s="298"/>
      <c r="K340" s="298"/>
      <c r="L340" s="298"/>
      <c r="M340" s="298"/>
      <c r="N340" s="298"/>
      <c r="O340" s="298"/>
      <c r="P340" s="298"/>
      <c r="Q340" s="298"/>
      <c r="R340" s="298"/>
    </row>
    <row r="341" spans="1:18" x14ac:dyDescent="0.2">
      <c r="A341" s="298"/>
      <c r="B341" s="298"/>
      <c r="C341" s="298"/>
      <c r="D341" s="298"/>
      <c r="E341" s="298"/>
      <c r="F341" s="298"/>
      <c r="G341" s="298"/>
      <c r="H341" s="298"/>
      <c r="I341" s="298"/>
      <c r="J341" s="298"/>
      <c r="K341" s="298"/>
      <c r="L341" s="298"/>
      <c r="M341" s="298"/>
      <c r="N341" s="298"/>
      <c r="O341" s="298"/>
      <c r="P341" s="298"/>
      <c r="Q341" s="298"/>
      <c r="R341" s="298"/>
    </row>
    <row r="342" spans="1:18" x14ac:dyDescent="0.2">
      <c r="A342" s="298"/>
      <c r="B342" s="298"/>
      <c r="C342" s="298"/>
      <c r="D342" s="298"/>
      <c r="E342" s="298"/>
      <c r="F342" s="298"/>
      <c r="G342" s="298"/>
      <c r="H342" s="298"/>
      <c r="I342" s="298"/>
      <c r="J342" s="298"/>
      <c r="K342" s="298"/>
      <c r="L342" s="298"/>
      <c r="M342" s="298"/>
      <c r="N342" s="298"/>
      <c r="O342" s="298"/>
      <c r="P342" s="298"/>
      <c r="Q342" s="298"/>
      <c r="R342" s="298"/>
    </row>
    <row r="343" spans="1:18" x14ac:dyDescent="0.2">
      <c r="A343" s="298"/>
      <c r="B343" s="298"/>
      <c r="C343" s="298"/>
      <c r="D343" s="298"/>
      <c r="E343" s="298"/>
      <c r="F343" s="298"/>
      <c r="G343" s="298"/>
      <c r="H343" s="298"/>
      <c r="I343" s="298"/>
      <c r="J343" s="298"/>
      <c r="K343" s="298"/>
      <c r="L343" s="298"/>
      <c r="M343" s="298"/>
      <c r="N343" s="298"/>
      <c r="O343" s="298"/>
      <c r="P343" s="298"/>
      <c r="Q343" s="298"/>
      <c r="R343" s="298"/>
    </row>
    <row r="344" spans="1:18" x14ac:dyDescent="0.2">
      <c r="A344" s="298"/>
      <c r="B344" s="298"/>
      <c r="C344" s="298"/>
      <c r="D344" s="298"/>
      <c r="E344" s="298"/>
      <c r="F344" s="298"/>
      <c r="G344" s="298"/>
      <c r="H344" s="298"/>
      <c r="I344" s="298"/>
      <c r="J344" s="298"/>
      <c r="K344" s="298"/>
      <c r="L344" s="298"/>
      <c r="M344" s="298"/>
      <c r="N344" s="298"/>
      <c r="O344" s="298"/>
      <c r="P344" s="298"/>
      <c r="Q344" s="298"/>
      <c r="R344" s="298"/>
    </row>
    <row r="345" spans="1:18" x14ac:dyDescent="0.2">
      <c r="A345" s="298"/>
      <c r="B345" s="298"/>
      <c r="C345" s="298"/>
      <c r="D345" s="298"/>
      <c r="E345" s="298"/>
      <c r="F345" s="298"/>
      <c r="G345" s="298"/>
      <c r="H345" s="298"/>
      <c r="I345" s="298"/>
      <c r="J345" s="298"/>
      <c r="K345" s="298"/>
      <c r="L345" s="298"/>
      <c r="M345" s="298"/>
      <c r="N345" s="298"/>
      <c r="O345" s="298"/>
      <c r="P345" s="298"/>
      <c r="Q345" s="298"/>
      <c r="R345" s="298"/>
    </row>
    <row r="346" spans="1:18" x14ac:dyDescent="0.2">
      <c r="A346" s="298"/>
      <c r="B346" s="298"/>
      <c r="C346" s="298"/>
      <c r="D346" s="298"/>
      <c r="E346" s="298"/>
      <c r="F346" s="298"/>
      <c r="G346" s="298"/>
      <c r="H346" s="298"/>
      <c r="I346" s="298"/>
      <c r="J346" s="298"/>
      <c r="K346" s="298"/>
      <c r="L346" s="298"/>
      <c r="M346" s="298"/>
      <c r="N346" s="298"/>
      <c r="O346" s="298"/>
      <c r="P346" s="298"/>
      <c r="Q346" s="298"/>
      <c r="R346" s="298"/>
    </row>
    <row r="347" spans="1:18" x14ac:dyDescent="0.2">
      <c r="A347" s="298"/>
      <c r="B347" s="298"/>
      <c r="C347" s="298"/>
      <c r="D347" s="298"/>
      <c r="E347" s="298"/>
      <c r="F347" s="298"/>
      <c r="G347" s="298"/>
      <c r="H347" s="298"/>
      <c r="I347" s="298"/>
      <c r="J347" s="298"/>
      <c r="K347" s="298"/>
      <c r="L347" s="298"/>
      <c r="M347" s="298"/>
      <c r="N347" s="298"/>
      <c r="O347" s="298"/>
      <c r="P347" s="298"/>
      <c r="Q347" s="298"/>
      <c r="R347" s="298"/>
    </row>
    <row r="348" spans="1:18" x14ac:dyDescent="0.2">
      <c r="A348" s="298"/>
      <c r="B348" s="298"/>
      <c r="C348" s="298"/>
      <c r="D348" s="298"/>
      <c r="E348" s="298"/>
      <c r="F348" s="298"/>
      <c r="G348" s="298"/>
      <c r="H348" s="298"/>
      <c r="I348" s="298"/>
      <c r="J348" s="298"/>
      <c r="K348" s="298"/>
      <c r="L348" s="298"/>
      <c r="M348" s="298"/>
      <c r="N348" s="298"/>
      <c r="O348" s="298"/>
      <c r="P348" s="298"/>
      <c r="Q348" s="298"/>
      <c r="R348" s="298"/>
    </row>
    <row r="349" spans="1:18" x14ac:dyDescent="0.2">
      <c r="A349" s="298"/>
      <c r="B349" s="298"/>
      <c r="C349" s="298"/>
      <c r="D349" s="298"/>
      <c r="E349" s="298"/>
      <c r="F349" s="298"/>
      <c r="G349" s="298"/>
      <c r="H349" s="298"/>
      <c r="I349" s="298"/>
      <c r="J349" s="298"/>
      <c r="K349" s="298"/>
      <c r="L349" s="298"/>
      <c r="M349" s="298"/>
      <c r="N349" s="298"/>
      <c r="O349" s="298"/>
      <c r="P349" s="298"/>
      <c r="Q349" s="298"/>
      <c r="R349" s="298"/>
    </row>
    <row r="350" spans="1:18" x14ac:dyDescent="0.2">
      <c r="A350" s="298"/>
      <c r="B350" s="298"/>
      <c r="C350" s="298"/>
      <c r="D350" s="298"/>
      <c r="E350" s="298"/>
      <c r="F350" s="298"/>
      <c r="G350" s="298"/>
      <c r="H350" s="298"/>
      <c r="I350" s="298"/>
      <c r="J350" s="298"/>
      <c r="K350" s="298"/>
      <c r="L350" s="298"/>
      <c r="M350" s="298"/>
      <c r="N350" s="298"/>
      <c r="O350" s="298"/>
      <c r="P350" s="298"/>
      <c r="Q350" s="298"/>
      <c r="R350" s="298"/>
    </row>
    <row r="351" spans="1:18" x14ac:dyDescent="0.2">
      <c r="A351" s="298"/>
      <c r="B351" s="298"/>
      <c r="C351" s="298"/>
      <c r="D351" s="298"/>
      <c r="E351" s="298"/>
      <c r="F351" s="298"/>
      <c r="G351" s="298"/>
      <c r="H351" s="298"/>
      <c r="I351" s="298"/>
      <c r="J351" s="298"/>
      <c r="K351" s="298"/>
      <c r="L351" s="298"/>
      <c r="M351" s="298"/>
      <c r="N351" s="298"/>
      <c r="O351" s="298"/>
      <c r="P351" s="298"/>
      <c r="Q351" s="298"/>
      <c r="R351" s="298"/>
    </row>
    <row r="352" spans="1:18" x14ac:dyDescent="0.2">
      <c r="A352" s="298"/>
      <c r="B352" s="298"/>
      <c r="C352" s="298"/>
      <c r="D352" s="298"/>
      <c r="E352" s="298"/>
      <c r="F352" s="298"/>
      <c r="G352" s="298"/>
      <c r="H352" s="298"/>
      <c r="I352" s="298"/>
      <c r="J352" s="298"/>
      <c r="K352" s="298"/>
      <c r="L352" s="298"/>
      <c r="M352" s="298"/>
      <c r="N352" s="298"/>
      <c r="O352" s="298"/>
      <c r="P352" s="298"/>
      <c r="Q352" s="298"/>
      <c r="R352" s="298"/>
    </row>
    <row r="353" spans="1:18" x14ac:dyDescent="0.2">
      <c r="A353" s="298"/>
      <c r="B353" s="298"/>
      <c r="C353" s="298"/>
      <c r="D353" s="298"/>
      <c r="E353" s="298"/>
      <c r="F353" s="298"/>
      <c r="G353" s="298"/>
      <c r="H353" s="298"/>
      <c r="I353" s="298"/>
      <c r="J353" s="298"/>
      <c r="K353" s="298"/>
      <c r="L353" s="298"/>
      <c r="M353" s="298"/>
      <c r="N353" s="298"/>
      <c r="O353" s="298"/>
      <c r="P353" s="298"/>
      <c r="Q353" s="298"/>
      <c r="R353" s="298"/>
    </row>
    <row r="354" spans="1:18" x14ac:dyDescent="0.2">
      <c r="A354" s="298"/>
      <c r="B354" s="298"/>
      <c r="C354" s="298"/>
      <c r="D354" s="298"/>
      <c r="E354" s="298"/>
      <c r="F354" s="298"/>
      <c r="G354" s="298"/>
      <c r="H354" s="298"/>
      <c r="I354" s="298"/>
      <c r="J354" s="298"/>
      <c r="K354" s="298"/>
      <c r="L354" s="298"/>
      <c r="M354" s="298"/>
      <c r="N354" s="298"/>
      <c r="O354" s="298"/>
      <c r="P354" s="298"/>
      <c r="Q354" s="298"/>
      <c r="R354" s="298"/>
    </row>
    <row r="355" spans="1:18" x14ac:dyDescent="0.2">
      <c r="A355" s="298"/>
      <c r="B355" s="298"/>
      <c r="C355" s="298"/>
      <c r="D355" s="298"/>
      <c r="E355" s="298"/>
      <c r="F355" s="298"/>
      <c r="G355" s="298"/>
      <c r="H355" s="298"/>
      <c r="I355" s="298"/>
      <c r="J355" s="298"/>
      <c r="K355" s="298"/>
      <c r="L355" s="298"/>
      <c r="M355" s="298"/>
      <c r="N355" s="298"/>
      <c r="O355" s="298"/>
      <c r="P355" s="298"/>
      <c r="Q355" s="298"/>
      <c r="R355" s="298"/>
    </row>
    <row r="356" spans="1:18" x14ac:dyDescent="0.2">
      <c r="A356" s="298"/>
      <c r="B356" s="298"/>
      <c r="C356" s="298"/>
      <c r="D356" s="298"/>
      <c r="E356" s="298"/>
      <c r="F356" s="298"/>
      <c r="G356" s="298"/>
      <c r="H356" s="298"/>
      <c r="I356" s="298"/>
      <c r="J356" s="298"/>
      <c r="K356" s="298"/>
      <c r="L356" s="298"/>
      <c r="M356" s="298"/>
      <c r="N356" s="298"/>
      <c r="O356" s="298"/>
      <c r="P356" s="298"/>
      <c r="Q356" s="298"/>
      <c r="R356" s="298"/>
    </row>
    <row r="357" spans="1:18" x14ac:dyDescent="0.2">
      <c r="A357" s="250"/>
      <c r="B357" s="250"/>
      <c r="C357" s="250"/>
      <c r="D357" s="250"/>
      <c r="E357" s="250"/>
      <c r="F357" s="250"/>
      <c r="G357" s="250"/>
      <c r="H357" s="250"/>
      <c r="I357" s="250"/>
      <c r="J357" s="250"/>
      <c r="K357" s="250"/>
      <c r="L357" s="250"/>
      <c r="M357" s="250"/>
      <c r="N357" s="250"/>
      <c r="O357" s="250"/>
      <c r="P357" s="250"/>
      <c r="Q357" s="250"/>
      <c r="R357" s="250"/>
    </row>
    <row r="358" spans="1:18" x14ac:dyDescent="0.2">
      <c r="A358" s="250"/>
      <c r="B358" s="250"/>
      <c r="C358" s="250"/>
      <c r="D358" s="250"/>
      <c r="E358" s="250"/>
      <c r="F358" s="250"/>
      <c r="G358" s="250"/>
      <c r="H358" s="250"/>
      <c r="I358" s="250"/>
      <c r="J358" s="250"/>
      <c r="K358" s="250"/>
      <c r="L358" s="250"/>
      <c r="M358" s="250"/>
      <c r="N358" s="250"/>
      <c r="O358" s="250"/>
      <c r="P358" s="250"/>
      <c r="Q358" s="250"/>
      <c r="R358" s="250"/>
    </row>
    <row r="359" spans="1:18" x14ac:dyDescent="0.2">
      <c r="A359" s="250"/>
      <c r="B359" s="250"/>
      <c r="C359" s="250"/>
      <c r="D359" s="250"/>
      <c r="E359" s="250"/>
      <c r="F359" s="250"/>
      <c r="G359" s="250"/>
      <c r="H359" s="250"/>
      <c r="I359" s="250"/>
      <c r="J359" s="250"/>
      <c r="K359" s="250"/>
      <c r="L359" s="250"/>
      <c r="M359" s="250"/>
      <c r="N359" s="250"/>
      <c r="O359" s="250"/>
      <c r="P359" s="250"/>
      <c r="Q359" s="250"/>
      <c r="R359" s="250"/>
    </row>
    <row r="360" spans="1:18" x14ac:dyDescent="0.2">
      <c r="A360" s="250"/>
      <c r="B360" s="250"/>
      <c r="C360" s="250"/>
      <c r="D360" s="250"/>
      <c r="E360" s="250"/>
      <c r="F360" s="250"/>
      <c r="G360" s="250"/>
      <c r="H360" s="250"/>
      <c r="I360" s="250"/>
      <c r="J360" s="250"/>
      <c r="K360" s="250"/>
      <c r="L360" s="250"/>
      <c r="M360" s="250"/>
      <c r="N360" s="250"/>
      <c r="O360" s="250"/>
      <c r="P360" s="250"/>
      <c r="Q360" s="250"/>
      <c r="R360" s="250"/>
    </row>
    <row r="361" spans="1:18" x14ac:dyDescent="0.2">
      <c r="A361" s="250"/>
      <c r="B361" s="250"/>
      <c r="C361" s="250"/>
      <c r="D361" s="250"/>
      <c r="E361" s="250"/>
      <c r="F361" s="250"/>
      <c r="G361" s="250"/>
      <c r="H361" s="250"/>
      <c r="I361" s="250"/>
      <c r="J361" s="250"/>
      <c r="K361" s="250"/>
      <c r="L361" s="250"/>
      <c r="M361" s="250"/>
      <c r="N361" s="250"/>
      <c r="O361" s="250"/>
      <c r="P361" s="250"/>
      <c r="Q361" s="250"/>
      <c r="R361" s="250"/>
    </row>
    <row r="362" spans="1:18" x14ac:dyDescent="0.2">
      <c r="A362" s="250"/>
      <c r="B362" s="250"/>
      <c r="C362" s="250"/>
      <c r="D362" s="250"/>
      <c r="E362" s="250"/>
      <c r="F362" s="250"/>
      <c r="G362" s="250"/>
      <c r="H362" s="250"/>
      <c r="I362" s="250"/>
      <c r="J362" s="250"/>
      <c r="K362" s="250"/>
      <c r="L362" s="250"/>
      <c r="M362" s="250"/>
      <c r="N362" s="250"/>
      <c r="O362" s="250"/>
      <c r="P362" s="250"/>
      <c r="Q362" s="250"/>
      <c r="R362" s="250"/>
    </row>
    <row r="363" spans="1:18" x14ac:dyDescent="0.2">
      <c r="A363" s="250"/>
      <c r="B363" s="250"/>
      <c r="C363" s="250"/>
      <c r="D363" s="250"/>
      <c r="E363" s="250"/>
      <c r="F363" s="250"/>
      <c r="G363" s="250"/>
      <c r="H363" s="250"/>
      <c r="I363" s="250"/>
      <c r="J363" s="250"/>
      <c r="K363" s="250"/>
      <c r="L363" s="250"/>
      <c r="M363" s="250"/>
      <c r="N363" s="250"/>
      <c r="O363" s="250"/>
      <c r="P363" s="250"/>
      <c r="Q363" s="250"/>
      <c r="R363" s="250"/>
    </row>
    <row r="364" spans="1:18" x14ac:dyDescent="0.2">
      <c r="A364" s="250"/>
      <c r="B364" s="250"/>
      <c r="C364" s="250"/>
      <c r="D364" s="250"/>
      <c r="E364" s="250"/>
      <c r="F364" s="250"/>
      <c r="G364" s="250"/>
      <c r="H364" s="250"/>
      <c r="I364" s="250"/>
      <c r="J364" s="250"/>
      <c r="K364" s="250"/>
      <c r="L364" s="250"/>
      <c r="M364" s="250"/>
      <c r="N364" s="250"/>
      <c r="O364" s="250"/>
      <c r="P364" s="250"/>
      <c r="Q364" s="250"/>
      <c r="R364" s="250"/>
    </row>
    <row r="365" spans="1:18" x14ac:dyDescent="0.2">
      <c r="A365" s="250"/>
      <c r="B365" s="250"/>
      <c r="C365" s="250"/>
      <c r="D365" s="250"/>
      <c r="E365" s="250"/>
      <c r="F365" s="250"/>
      <c r="G365" s="250"/>
      <c r="H365" s="250"/>
      <c r="I365" s="250"/>
      <c r="J365" s="250"/>
      <c r="K365" s="250"/>
      <c r="L365" s="250"/>
      <c r="M365" s="250"/>
      <c r="N365" s="250"/>
      <c r="O365" s="250"/>
      <c r="P365" s="250"/>
      <c r="Q365" s="250"/>
      <c r="R365" s="250"/>
    </row>
    <row r="366" spans="1:18" x14ac:dyDescent="0.2">
      <c r="A366" s="250"/>
      <c r="B366" s="250"/>
      <c r="C366" s="250"/>
      <c r="D366" s="250"/>
      <c r="E366" s="250"/>
      <c r="F366" s="250"/>
      <c r="G366" s="250"/>
      <c r="H366" s="250"/>
      <c r="I366" s="250"/>
      <c r="J366" s="250"/>
      <c r="K366" s="250"/>
      <c r="L366" s="250"/>
      <c r="M366" s="250"/>
      <c r="N366" s="250"/>
      <c r="O366" s="250"/>
      <c r="P366" s="250"/>
      <c r="Q366" s="250"/>
      <c r="R366" s="250"/>
    </row>
    <row r="367" spans="1:18" x14ac:dyDescent="0.2">
      <c r="A367" s="250"/>
      <c r="B367" s="250"/>
      <c r="C367" s="250"/>
      <c r="D367" s="250"/>
      <c r="E367" s="250"/>
      <c r="F367" s="250"/>
      <c r="G367" s="250"/>
      <c r="H367" s="250"/>
      <c r="I367" s="250"/>
      <c r="J367" s="250"/>
      <c r="K367" s="250"/>
      <c r="L367" s="250"/>
      <c r="M367" s="250"/>
      <c r="N367" s="250"/>
      <c r="O367" s="250"/>
      <c r="P367" s="250"/>
      <c r="Q367" s="250"/>
      <c r="R367" s="250"/>
    </row>
    <row r="368" spans="1:18" x14ac:dyDescent="0.2">
      <c r="A368" s="250"/>
      <c r="B368" s="250"/>
      <c r="C368" s="250"/>
      <c r="D368" s="250"/>
      <c r="E368" s="250"/>
      <c r="F368" s="250"/>
      <c r="G368" s="250"/>
      <c r="H368" s="250"/>
      <c r="I368" s="250"/>
      <c r="J368" s="250"/>
      <c r="K368" s="250"/>
      <c r="L368" s="250"/>
      <c r="M368" s="250"/>
      <c r="N368" s="250"/>
      <c r="O368" s="250"/>
      <c r="P368" s="250"/>
      <c r="Q368" s="250"/>
      <c r="R368" s="250"/>
    </row>
    <row r="369" spans="1:18" x14ac:dyDescent="0.2">
      <c r="A369" s="250"/>
      <c r="B369" s="250"/>
      <c r="C369" s="250"/>
      <c r="D369" s="250"/>
      <c r="E369" s="250"/>
      <c r="F369" s="250"/>
      <c r="G369" s="250"/>
      <c r="H369" s="250"/>
      <c r="I369" s="250"/>
      <c r="J369" s="250"/>
      <c r="K369" s="250"/>
      <c r="L369" s="250"/>
      <c r="M369" s="250"/>
      <c r="N369" s="250"/>
      <c r="O369" s="250"/>
      <c r="P369" s="250"/>
      <c r="Q369" s="250"/>
      <c r="R369" s="250"/>
    </row>
    <row r="370" spans="1:18" x14ac:dyDescent="0.2">
      <c r="A370" s="250"/>
      <c r="B370" s="250"/>
      <c r="C370" s="250"/>
      <c r="D370" s="250"/>
      <c r="E370" s="250"/>
      <c r="F370" s="250"/>
      <c r="G370" s="250"/>
      <c r="H370" s="250"/>
      <c r="I370" s="250"/>
      <c r="J370" s="250"/>
      <c r="K370" s="250"/>
      <c r="L370" s="250"/>
      <c r="M370" s="250"/>
      <c r="N370" s="250"/>
      <c r="O370" s="250"/>
      <c r="P370" s="250"/>
      <c r="Q370" s="250"/>
      <c r="R370" s="250"/>
    </row>
    <row r="371" spans="1:18" x14ac:dyDescent="0.2">
      <c r="A371" s="250"/>
      <c r="B371" s="250"/>
      <c r="C371" s="250"/>
      <c r="D371" s="250"/>
      <c r="E371" s="250"/>
      <c r="F371" s="250"/>
      <c r="G371" s="250"/>
      <c r="H371" s="250"/>
      <c r="I371" s="250"/>
      <c r="J371" s="250"/>
      <c r="K371" s="250"/>
      <c r="L371" s="250"/>
      <c r="M371" s="250"/>
      <c r="N371" s="250"/>
      <c r="O371" s="250"/>
      <c r="P371" s="250"/>
      <c r="Q371" s="250"/>
      <c r="R371" s="250"/>
    </row>
    <row r="372" spans="1:18" x14ac:dyDescent="0.2">
      <c r="A372" s="250"/>
      <c r="B372" s="250"/>
      <c r="C372" s="250"/>
      <c r="D372" s="250"/>
      <c r="E372" s="250"/>
      <c r="F372" s="250"/>
      <c r="G372" s="250"/>
      <c r="H372" s="250"/>
      <c r="I372" s="250"/>
      <c r="J372" s="250"/>
      <c r="K372" s="250"/>
      <c r="L372" s="250"/>
      <c r="M372" s="250"/>
      <c r="N372" s="250"/>
      <c r="O372" s="250"/>
      <c r="P372" s="250"/>
      <c r="Q372" s="250"/>
      <c r="R372" s="250"/>
    </row>
    <row r="373" spans="1:18" x14ac:dyDescent="0.2">
      <c r="A373" s="250"/>
      <c r="B373" s="250"/>
      <c r="C373" s="250"/>
      <c r="D373" s="250"/>
      <c r="E373" s="250"/>
      <c r="F373" s="250"/>
      <c r="G373" s="250"/>
      <c r="H373" s="250"/>
      <c r="I373" s="250"/>
      <c r="J373" s="250"/>
      <c r="K373" s="250"/>
      <c r="L373" s="250"/>
      <c r="M373" s="250"/>
      <c r="N373" s="250"/>
      <c r="O373" s="250"/>
      <c r="P373" s="250"/>
      <c r="Q373" s="250"/>
      <c r="R373" s="250"/>
    </row>
    <row r="374" spans="1:18" x14ac:dyDescent="0.2">
      <c r="A374" s="250"/>
      <c r="B374" s="250"/>
      <c r="C374" s="250"/>
      <c r="D374" s="250"/>
      <c r="E374" s="250"/>
      <c r="F374" s="250"/>
      <c r="G374" s="250"/>
      <c r="H374" s="250"/>
      <c r="I374" s="250"/>
      <c r="J374" s="250"/>
      <c r="K374" s="250"/>
      <c r="L374" s="250"/>
      <c r="M374" s="250"/>
      <c r="N374" s="250"/>
      <c r="O374" s="250"/>
      <c r="P374" s="250"/>
      <c r="Q374" s="250"/>
      <c r="R374" s="250"/>
    </row>
    <row r="375" spans="1:18" x14ac:dyDescent="0.2">
      <c r="A375" s="250"/>
      <c r="B375" s="250"/>
      <c r="C375" s="250"/>
      <c r="D375" s="250"/>
      <c r="E375" s="250"/>
      <c r="F375" s="250"/>
      <c r="G375" s="250"/>
      <c r="H375" s="250"/>
      <c r="I375" s="250"/>
      <c r="J375" s="250"/>
      <c r="K375" s="250"/>
      <c r="L375" s="250"/>
      <c r="M375" s="250"/>
      <c r="N375" s="250"/>
      <c r="O375" s="250"/>
      <c r="P375" s="250"/>
      <c r="Q375" s="250"/>
      <c r="R375" s="250"/>
    </row>
    <row r="376" spans="1:18" x14ac:dyDescent="0.2">
      <c r="A376" s="250"/>
      <c r="B376" s="250"/>
      <c r="C376" s="250"/>
      <c r="D376" s="250"/>
      <c r="E376" s="250"/>
      <c r="F376" s="250"/>
      <c r="G376" s="250"/>
      <c r="H376" s="250"/>
      <c r="I376" s="250"/>
      <c r="J376" s="250"/>
      <c r="K376" s="250"/>
      <c r="L376" s="250"/>
      <c r="M376" s="250"/>
      <c r="N376" s="250"/>
      <c r="O376" s="250"/>
      <c r="P376" s="250"/>
      <c r="Q376" s="250"/>
      <c r="R376" s="250"/>
    </row>
    <row r="377" spans="1:18" x14ac:dyDescent="0.2">
      <c r="A377" s="250"/>
      <c r="B377" s="250"/>
      <c r="C377" s="250"/>
      <c r="D377" s="250"/>
      <c r="E377" s="250"/>
      <c r="F377" s="250"/>
      <c r="G377" s="250"/>
      <c r="H377" s="250"/>
      <c r="I377" s="250"/>
      <c r="J377" s="250"/>
      <c r="K377" s="250"/>
      <c r="L377" s="250"/>
      <c r="M377" s="250"/>
      <c r="N377" s="250"/>
      <c r="O377" s="250"/>
      <c r="P377" s="250"/>
      <c r="Q377" s="250"/>
      <c r="R377" s="250"/>
    </row>
    <row r="378" spans="1:18" x14ac:dyDescent="0.2">
      <c r="A378" s="250"/>
      <c r="B378" s="250"/>
      <c r="C378" s="250"/>
      <c r="D378" s="250"/>
      <c r="E378" s="250"/>
      <c r="F378" s="250"/>
      <c r="G378" s="250"/>
      <c r="H378" s="250"/>
      <c r="I378" s="250"/>
      <c r="J378" s="250"/>
      <c r="K378" s="250"/>
      <c r="L378" s="250"/>
      <c r="M378" s="250"/>
      <c r="N378" s="250"/>
      <c r="O378" s="250"/>
      <c r="P378" s="250"/>
      <c r="Q378" s="250"/>
      <c r="R378" s="250"/>
    </row>
    <row r="379" spans="1:18" x14ac:dyDescent="0.2">
      <c r="A379" s="250"/>
      <c r="B379" s="250"/>
      <c r="C379" s="250"/>
      <c r="D379" s="250"/>
      <c r="E379" s="250"/>
      <c r="F379" s="250"/>
      <c r="G379" s="250"/>
      <c r="H379" s="250"/>
      <c r="I379" s="250"/>
      <c r="J379" s="250"/>
      <c r="K379" s="250"/>
      <c r="L379" s="250"/>
      <c r="M379" s="250"/>
      <c r="N379" s="250"/>
      <c r="O379" s="250"/>
      <c r="P379" s="250"/>
      <c r="Q379" s="250"/>
      <c r="R379" s="250"/>
    </row>
    <row r="380" spans="1:18" x14ac:dyDescent="0.2">
      <c r="A380" s="250"/>
      <c r="B380" s="250"/>
      <c r="C380" s="250"/>
      <c r="D380" s="250"/>
      <c r="E380" s="250"/>
      <c r="F380" s="250"/>
      <c r="G380" s="250"/>
      <c r="H380" s="250"/>
      <c r="I380" s="250"/>
      <c r="J380" s="250"/>
      <c r="K380" s="250"/>
      <c r="L380" s="250"/>
      <c r="M380" s="250"/>
      <c r="N380" s="250"/>
      <c r="O380" s="250"/>
      <c r="P380" s="250"/>
      <c r="Q380" s="250"/>
      <c r="R380" s="250"/>
    </row>
    <row r="381" spans="1:18" x14ac:dyDescent="0.2">
      <c r="A381" s="250"/>
      <c r="B381" s="250"/>
      <c r="C381" s="250"/>
      <c r="D381" s="250"/>
      <c r="E381" s="250"/>
      <c r="F381" s="250"/>
      <c r="G381" s="250"/>
      <c r="H381" s="250"/>
      <c r="I381" s="250"/>
      <c r="J381" s="250"/>
      <c r="K381" s="250"/>
      <c r="L381" s="250"/>
      <c r="M381" s="250"/>
      <c r="N381" s="250"/>
      <c r="O381" s="250"/>
      <c r="P381" s="250"/>
      <c r="Q381" s="250"/>
      <c r="R381" s="250"/>
    </row>
    <row r="382" spans="1:18" x14ac:dyDescent="0.2">
      <c r="A382" s="250"/>
      <c r="B382" s="250"/>
      <c r="C382" s="250"/>
      <c r="D382" s="250"/>
      <c r="E382" s="250"/>
      <c r="F382" s="250"/>
      <c r="G382" s="250"/>
      <c r="H382" s="250"/>
      <c r="I382" s="250"/>
      <c r="J382" s="250"/>
      <c r="K382" s="250"/>
      <c r="L382" s="250"/>
      <c r="M382" s="250"/>
      <c r="N382" s="250"/>
      <c r="O382" s="250"/>
      <c r="P382" s="250"/>
      <c r="Q382" s="250"/>
      <c r="R382" s="250"/>
    </row>
    <row r="383" spans="1:18" x14ac:dyDescent="0.2">
      <c r="A383" s="250"/>
      <c r="B383" s="250"/>
      <c r="C383" s="250"/>
      <c r="D383" s="250"/>
      <c r="E383" s="250"/>
      <c r="F383" s="250"/>
      <c r="G383" s="250"/>
      <c r="H383" s="250"/>
      <c r="I383" s="250"/>
      <c r="J383" s="250"/>
      <c r="K383" s="250"/>
      <c r="L383" s="250"/>
      <c r="M383" s="250"/>
      <c r="N383" s="250"/>
      <c r="O383" s="250"/>
      <c r="P383" s="250"/>
      <c r="Q383" s="250"/>
      <c r="R383" s="250"/>
    </row>
  </sheetData>
  <sheetProtection algorithmName="SHA-512" hashValue="2QQ1lslrClgHvgg4A9GhZAlgspwm4KMT4kn84x718NAPJgxOieVfVWJ+KROzIqZCouHk8Piz3/ZsDWu01n5caw==" saltValue="qZ34gz2gnHcpsR7j897aWg==" spinCount="100000" sheet="1" objects="1" scenarios="1" selectLockedCells="1"/>
  <mergeCells count="84">
    <mergeCell ref="B1:F2"/>
    <mergeCell ref="B55:D55"/>
    <mergeCell ref="B56:D56"/>
    <mergeCell ref="E55:F55"/>
    <mergeCell ref="E56:F56"/>
    <mergeCell ref="B47:E47"/>
    <mergeCell ref="B38:E38"/>
    <mergeCell ref="B40:E40"/>
    <mergeCell ref="B39:E39"/>
    <mergeCell ref="B41:E41"/>
    <mergeCell ref="B8:F9"/>
    <mergeCell ref="B3:D3"/>
    <mergeCell ref="E3:F3"/>
    <mergeCell ref="B6:C6"/>
    <mergeCell ref="B53:C54"/>
    <mergeCell ref="D7:F7"/>
    <mergeCell ref="H3:H4"/>
    <mergeCell ref="H5:H7"/>
    <mergeCell ref="S50:T50"/>
    <mergeCell ref="H49:H50"/>
    <mergeCell ref="B44:E44"/>
    <mergeCell ref="B46:E46"/>
    <mergeCell ref="B49:F50"/>
    <mergeCell ref="B4:F5"/>
    <mergeCell ref="B17:F18"/>
    <mergeCell ref="B20:F20"/>
    <mergeCell ref="B28:F28"/>
    <mergeCell ref="B24:F24"/>
    <mergeCell ref="B36:D36"/>
    <mergeCell ref="B37:D37"/>
    <mergeCell ref="B42:E42"/>
    <mergeCell ref="B43:E43"/>
    <mergeCell ref="B30:F30"/>
    <mergeCell ref="B34:F35"/>
    <mergeCell ref="B57:F58"/>
    <mergeCell ref="B110:F110"/>
    <mergeCell ref="D98:E99"/>
    <mergeCell ref="F98:F99"/>
    <mergeCell ref="B94:C94"/>
    <mergeCell ref="B93:C93"/>
    <mergeCell ref="B98:C98"/>
    <mergeCell ref="B107:B108"/>
    <mergeCell ref="C107:C108"/>
    <mergeCell ref="E107:E108"/>
    <mergeCell ref="F107:F108"/>
    <mergeCell ref="D107:D108"/>
    <mergeCell ref="B7:C7"/>
    <mergeCell ref="AN48:AO48"/>
    <mergeCell ref="W50:X50"/>
    <mergeCell ref="Y50:Z50"/>
    <mergeCell ref="AA50:AB50"/>
    <mergeCell ref="AF48:AG48"/>
    <mergeCell ref="AH48:AI48"/>
    <mergeCell ref="AC48:AD48"/>
    <mergeCell ref="W48:X48"/>
    <mergeCell ref="Y48:Z48"/>
    <mergeCell ref="AA48:AB48"/>
    <mergeCell ref="E36:F36"/>
    <mergeCell ref="E37:F37"/>
    <mergeCell ref="U48:V48"/>
    <mergeCell ref="S48:T48"/>
    <mergeCell ref="U50:V50"/>
    <mergeCell ref="AJ48:AK48"/>
    <mergeCell ref="AL48:AM48"/>
    <mergeCell ref="G107:G108"/>
    <mergeCell ref="B102:D103"/>
    <mergeCell ref="E102:G103"/>
    <mergeCell ref="X62:Z62"/>
    <mergeCell ref="D93:I93"/>
    <mergeCell ref="B91:F91"/>
    <mergeCell ref="G94:I94"/>
    <mergeCell ref="B95:C96"/>
    <mergeCell ref="G95:I95"/>
    <mergeCell ref="B68:F69"/>
    <mergeCell ref="B51:C51"/>
    <mergeCell ref="B52:C52"/>
    <mergeCell ref="D52:F52"/>
    <mergeCell ref="H51:H53"/>
    <mergeCell ref="W57:X57"/>
    <mergeCell ref="X61:AE61"/>
    <mergeCell ref="AF61:AM61"/>
    <mergeCell ref="AF62:AH62"/>
    <mergeCell ref="AI62:AK62"/>
    <mergeCell ref="AA62:AC62"/>
  </mergeCells>
  <conditionalFormatting sqref="B95">
    <cfRule type="expression" dxfId="138" priority="54">
      <formula>$B$95="Wert vorhanden"</formula>
    </cfRule>
    <cfRule type="expression" dxfId="137" priority="53">
      <formula>$B$95="Wert geringer als Summe der Volllaststunden Heizen/Kühlen"</formula>
    </cfRule>
  </conditionalFormatting>
  <conditionalFormatting sqref="B29:F29">
    <cfRule type="colorScale" priority="82">
      <colorScale>
        <cfvo type="num" val="0.25"/>
        <cfvo type="num" val="0.5"/>
        <cfvo type="num" val="0.75"/>
        <color rgb="FFF8696B"/>
        <color rgb="FFFFEB84"/>
        <color rgb="FF63BE7B"/>
      </colorScale>
    </cfRule>
  </conditionalFormatting>
  <conditionalFormatting sqref="C99:C100">
    <cfRule type="cellIs" dxfId="136" priority="35" operator="between">
      <formula>-0.2</formula>
      <formula>-0.3</formula>
    </cfRule>
    <cfRule type="cellIs" dxfId="135" priority="36" operator="between">
      <formula>0</formula>
      <formula>-0.2</formula>
    </cfRule>
    <cfRule type="cellIs" dxfId="134" priority="34" operator="between">
      <formula>-0.3</formula>
      <formula>-1</formula>
    </cfRule>
  </conditionalFormatting>
  <conditionalFormatting sqref="D10:D15 D7">
    <cfRule type="colorScale" priority="78">
      <colorScale>
        <cfvo type="num" val="0.25"/>
        <cfvo type="num" val="0.5"/>
        <cfvo type="num" val="0.75"/>
        <color rgb="FFF8696B"/>
        <color rgb="FFFFEB84"/>
        <color rgb="FF63BE7B"/>
      </colorScale>
    </cfRule>
  </conditionalFormatting>
  <conditionalFormatting sqref="D52">
    <cfRule type="colorScale" priority="77">
      <colorScale>
        <cfvo type="num" val="0.5"/>
        <cfvo type="num" val="0.75"/>
        <cfvo type="num" val="1"/>
        <color rgb="FFF8696B"/>
        <color rgb="FFFFEB84"/>
        <color rgb="FF63BE7B"/>
      </colorScale>
    </cfRule>
  </conditionalFormatting>
  <conditionalFormatting sqref="D54 F54 D65 F65">
    <cfRule type="colorScale" priority="76">
      <colorScale>
        <cfvo type="num" val="0.5"/>
        <cfvo type="num" val="0.5"/>
        <cfvo type="num" val="1"/>
        <color rgb="FFF8696B"/>
        <color rgb="FFFFEB84"/>
        <color rgb="FF63BE7B"/>
      </colorScale>
    </cfRule>
  </conditionalFormatting>
  <conditionalFormatting sqref="D94:I96">
    <cfRule type="expression" dxfId="131" priority="33">
      <formula>$J$91=FALSE</formula>
    </cfRule>
  </conditionalFormatting>
  <conditionalFormatting sqref="F40:G40">
    <cfRule type="expression" dxfId="125" priority="361" stopIfTrue="1">
      <formula>$J$32=FALSE</formula>
    </cfRule>
  </conditionalFormatting>
  <conditionalFormatting sqref="G38">
    <cfRule type="expression" dxfId="123" priority="73">
      <formula>$G$38="Wert vorhanden"</formula>
    </cfRule>
    <cfRule type="expression" dxfId="122" priority="71">
      <formula>$G$38="Wert eingeben"</formula>
    </cfRule>
    <cfRule type="expression" dxfId="121" priority="70">
      <formula>$G$38="Wert über 0 eingeben"</formula>
    </cfRule>
  </conditionalFormatting>
  <conditionalFormatting sqref="G40">
    <cfRule type="expression" dxfId="119" priority="9">
      <formula>"$J$29=FALSCH"</formula>
    </cfRule>
    <cfRule type="expression" dxfId="118" priority="68">
      <formula>AND($G$40="Wert vorhanden",$J$32=TRUE)</formula>
    </cfRule>
    <cfRule type="expression" dxfId="117" priority="67">
      <formula>$G$40="Wert eingeben"</formula>
    </cfRule>
  </conditionalFormatting>
  <conditionalFormatting sqref="G94">
    <cfRule type="expression" dxfId="116" priority="32">
      <formula>G94="Wert vorhanden"</formula>
    </cfRule>
    <cfRule type="expression" dxfId="115" priority="31">
      <formula>G94="Wert zwischen 0 und 12 eintragen"</formula>
    </cfRule>
  </conditionalFormatting>
  <conditionalFormatting sqref="G95">
    <cfRule type="expression" dxfId="114" priority="29">
      <formula>G95="Wert zwischen 0 und 24 h eintragen"</formula>
    </cfRule>
    <cfRule type="expression" dxfId="113" priority="30">
      <formula>G95="Wert vorhanden"</formula>
    </cfRule>
  </conditionalFormatting>
  <conditionalFormatting sqref="G94:I95">
    <cfRule type="expression" dxfId="112" priority="28">
      <formula>$J$91=FALSE</formula>
    </cfRule>
  </conditionalFormatting>
  <conditionalFormatting sqref="H5:H7">
    <cfRule type="expression" dxfId="111" priority="23">
      <formula>$H$5="D"</formula>
    </cfRule>
    <cfRule type="expression" dxfId="110" priority="24">
      <formula>$H$5="C"</formula>
    </cfRule>
    <cfRule type="expression" dxfId="109" priority="22">
      <formula>$H$5="E"</formula>
    </cfRule>
    <cfRule type="expression" dxfId="108" priority="21">
      <formula>$H$5="F"</formula>
    </cfRule>
    <cfRule type="expression" dxfId="107" priority="20">
      <formula>$H$5="G"</formula>
    </cfRule>
    <cfRule type="expression" dxfId="106" priority="27">
      <formula>$H$5="A+"</formula>
    </cfRule>
    <cfRule type="expression" dxfId="105" priority="26">
      <formula>$H$5="A"</formula>
    </cfRule>
    <cfRule type="expression" dxfId="104" priority="25">
      <formula>$H$5="B"</formula>
    </cfRule>
  </conditionalFormatting>
  <conditionalFormatting sqref="H51:H53">
    <cfRule type="expression" dxfId="103" priority="18">
      <formula>$H$51="A+"</formula>
    </cfRule>
    <cfRule type="expression" dxfId="102" priority="17">
      <formula>$H$51="A"</formula>
    </cfRule>
    <cfRule type="expression" dxfId="101" priority="16">
      <formula>$H$51="B"</formula>
    </cfRule>
    <cfRule type="expression" dxfId="100" priority="15">
      <formula>$H$51="C"</formula>
    </cfRule>
    <cfRule type="expression" dxfId="99" priority="14">
      <formula>$H$51="D"</formula>
    </cfRule>
    <cfRule type="expression" dxfId="98" priority="13">
      <formula>$H$51="E"</formula>
    </cfRule>
    <cfRule type="expression" dxfId="97" priority="11">
      <formula>$H$51="G"</formula>
    </cfRule>
    <cfRule type="expression" dxfId="96" priority="12">
      <formula>$H$51="F"</formula>
    </cfRule>
    <cfRule type="expression" dxfId="95" priority="10">
      <formula>$H$51="H"</formula>
    </cfRule>
  </conditionalFormatting>
  <conditionalFormatting sqref="H97:I98 D98:G99">
    <cfRule type="expression" dxfId="94" priority="55">
      <formula>$J$91=FALSE</formula>
    </cfRule>
  </conditionalFormatting>
  <conditionalFormatting sqref="AB5:AJ5 H5:H7">
    <cfRule type="expression" dxfId="93" priority="19">
      <formula>$H$5="H"</formula>
    </cfRule>
  </conditionalFormatting>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5</xdr:col>
                    <xdr:colOff>419100</xdr:colOff>
                    <xdr:row>37</xdr:row>
                    <xdr:rowOff>161925</xdr:rowOff>
                  </from>
                  <to>
                    <xdr:col>5</xdr:col>
                    <xdr:colOff>733425</xdr:colOff>
                    <xdr:row>39</xdr:row>
                    <xdr:rowOff>28575</xdr:rowOff>
                  </to>
                </anchor>
              </controlPr>
            </control>
          </mc:Choice>
        </mc:AlternateContent>
        <mc:AlternateContent xmlns:mc="http://schemas.openxmlformats.org/markup-compatibility/2006">
          <mc:Choice Requires="x14">
            <control shapeId="6147" r:id="rId5" name="Check Box 3">
              <controlPr locked="0" defaultSize="0" autoFill="0" autoLine="0" autoPict="0">
                <anchor moveWithCells="1">
                  <from>
                    <xdr:col>5</xdr:col>
                    <xdr:colOff>190500</xdr:colOff>
                    <xdr:row>91</xdr:row>
                    <xdr:rowOff>104775</xdr:rowOff>
                  </from>
                  <to>
                    <xdr:col>5</xdr:col>
                    <xdr:colOff>609600</xdr:colOff>
                    <xdr:row>93</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 id="{0D09E35F-F586-48E4-A052-684CC08A2F43}">
            <xm:f>Eingabe!$A$13=FALSE</xm:f>
            <x14:dxf>
              <font>
                <color theme="0"/>
              </font>
              <fill>
                <patternFill>
                  <bgColor theme="0"/>
                </patternFill>
              </fill>
              <border>
                <left/>
                <right/>
                <top/>
                <bottom/>
                <vertical/>
                <horizontal/>
              </border>
            </x14:dxf>
          </x14:cfRule>
          <xm:sqref>C105:D108</xm:sqref>
        </x14:conditionalFormatting>
        <x14:conditionalFormatting xmlns:xm="http://schemas.microsoft.com/office/excel/2006/main">
          <x14:cfRule type="expression" priority="7" id="{2254DA20-09AE-43B8-B1E8-8F385F1F5E27}">
            <xm:f>Eingabe!$A$13=FALSE</xm:f>
            <x14:dxf>
              <font>
                <color theme="0"/>
              </font>
              <fill>
                <patternFill>
                  <bgColor theme="0"/>
                </patternFill>
              </fill>
              <border>
                <left/>
                <right/>
                <top/>
                <bottom/>
                <vertical/>
                <horizontal/>
              </border>
            </x14:dxf>
          </x14:cfRule>
          <xm:sqref>D105:D107</xm:sqref>
        </x14:conditionalFormatting>
        <x14:conditionalFormatting xmlns:xm="http://schemas.microsoft.com/office/excel/2006/main">
          <x14:cfRule type="expression" priority="75" id="{BFFC7DFC-C017-472D-9C11-506BD26282AC}">
            <xm:f>Eingabe!$A$13=FALSE</xm:f>
            <x14:dxf>
              <font>
                <color theme="0"/>
              </font>
              <fill>
                <patternFill patternType="none">
                  <fgColor indexed="64"/>
                  <bgColor auto="1"/>
                </patternFill>
              </fill>
              <border>
                <left/>
                <right/>
                <top/>
                <bottom/>
                <vertical/>
                <horizontal/>
              </border>
            </x14:dxf>
          </x14:cfRule>
          <xm:sqref>F38</xm:sqref>
        </x14:conditionalFormatting>
        <x14:conditionalFormatting xmlns:xm="http://schemas.microsoft.com/office/excel/2006/main">
          <x14:cfRule type="expression" priority="74" id="{C0439177-FAD0-46AF-BD24-926353A4DD77}">
            <xm:f>Eingabe!$A$14=FALSE</xm:f>
            <x14:dxf>
              <font>
                <color theme="0"/>
              </font>
              <fill>
                <patternFill>
                  <fgColor theme="0"/>
                  <bgColor theme="0"/>
                </patternFill>
              </fill>
              <border>
                <left/>
                <right/>
                <top/>
                <bottom/>
                <vertical/>
                <horizontal/>
              </border>
            </x14:dxf>
          </x14:cfRule>
          <xm:sqref>F40 F42</xm:sqref>
        </x14:conditionalFormatting>
        <x14:conditionalFormatting xmlns:xm="http://schemas.microsoft.com/office/excel/2006/main">
          <x14:cfRule type="expression" priority="4" id="{E37BC580-4647-476D-9C7A-92CC844655E4}">
            <xm:f>Eingabe!$A$13=FALSE</xm:f>
            <x14:dxf>
              <font>
                <color theme="0"/>
              </font>
              <fill>
                <patternFill>
                  <fgColor theme="0"/>
                  <bgColor theme="0"/>
                </patternFill>
              </fill>
              <border>
                <left/>
                <right/>
                <top/>
                <bottom/>
              </border>
            </x14:dxf>
          </x14:cfRule>
          <xm:sqref>F41</xm:sqref>
        </x14:conditionalFormatting>
        <x14:conditionalFormatting xmlns:xm="http://schemas.microsoft.com/office/excel/2006/main">
          <x14:cfRule type="expression" priority="63" id="{684561AF-1BB2-411E-9BA2-FE663932C691}">
            <xm:f>Eingabe!$A$14=FALSE</xm:f>
            <x14:dxf>
              <font>
                <color theme="0"/>
              </font>
              <fill>
                <patternFill>
                  <bgColor theme="0"/>
                </patternFill>
              </fill>
              <border>
                <left/>
                <right/>
                <top/>
                <bottom/>
                <vertical/>
                <horizontal/>
              </border>
            </x14:dxf>
          </x14:cfRule>
          <xm:sqref>F42 F44</xm:sqref>
        </x14:conditionalFormatting>
        <x14:conditionalFormatting xmlns:xm="http://schemas.microsoft.com/office/excel/2006/main">
          <x14:cfRule type="expression" priority="64" id="{545804D4-17E8-4E49-945E-77FC9355E1FE}">
            <xm:f>Eingabe!$A$13=FALSE</xm:f>
            <x14:dxf>
              <font>
                <color theme="0"/>
              </font>
              <fill>
                <patternFill>
                  <bgColor theme="0"/>
                </patternFill>
              </fill>
              <border>
                <left/>
                <right/>
                <top/>
                <bottom/>
                <vertical/>
                <horizontal/>
              </border>
            </x14:dxf>
          </x14:cfRule>
          <xm:sqref>F43</xm:sqref>
        </x14:conditionalFormatting>
        <x14:conditionalFormatting xmlns:xm="http://schemas.microsoft.com/office/excel/2006/main">
          <x14:cfRule type="expression" priority="1" id="{C228ADF8-F7EF-479F-A05A-08141C929210}">
            <xm:f>Eingabe!$A$14=FALSE</xm:f>
            <x14:dxf>
              <font>
                <color theme="0"/>
              </font>
              <fill>
                <patternFill>
                  <bgColor theme="0"/>
                </patternFill>
              </fill>
              <border>
                <left/>
                <right/>
                <top/>
                <bottom/>
                <vertical/>
                <horizontal/>
              </border>
            </x14:dxf>
          </x14:cfRule>
          <xm:sqref>F105:G108</xm:sqref>
        </x14:conditionalFormatting>
        <x14:conditionalFormatting xmlns:xm="http://schemas.microsoft.com/office/excel/2006/main">
          <x14:cfRule type="expression" priority="69" id="{213D518A-529E-4E55-A81A-ABD001D97579}">
            <xm:f>Eingabe!$A$13=FALSE</xm:f>
            <x14:dxf>
              <font>
                <color theme="0"/>
              </font>
              <fill>
                <patternFill>
                  <bgColor theme="0"/>
                </patternFill>
              </fill>
              <border>
                <left/>
                <right/>
                <top/>
                <bottom/>
                <vertical/>
                <horizontal/>
              </border>
            </x14:dxf>
          </x14:cfRule>
          <xm:sqref>G38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44F7-AB58-4D80-B01F-5F9102E8BD4B}">
  <sheetPr>
    <tabColor rgb="FFC7E16A"/>
    <pageSetUpPr fitToPage="1"/>
  </sheetPr>
  <dimension ref="A1:AJ118"/>
  <sheetViews>
    <sheetView topLeftCell="A19" zoomScale="85" zoomScaleNormal="85" workbookViewId="0">
      <selection activeCell="B9" sqref="B9:C9"/>
    </sheetView>
  </sheetViews>
  <sheetFormatPr baseColWidth="10" defaultRowHeight="12.75" x14ac:dyDescent="0.2"/>
  <cols>
    <col min="4" max="4" width="14.28515625" customWidth="1"/>
    <col min="5" max="5" width="14" customWidth="1"/>
    <col min="6" max="7" width="17.28515625" customWidth="1"/>
    <col min="8" max="8" width="11.85546875" bestFit="1" customWidth="1"/>
    <col min="9" max="9" width="11.5703125" bestFit="1" customWidth="1"/>
    <col min="10" max="10" width="13.28515625" bestFit="1" customWidth="1"/>
    <col min="11" max="11" width="13.42578125" bestFit="1" customWidth="1"/>
    <col min="12" max="12" width="19.140625" customWidth="1"/>
    <col min="13" max="13" width="16" bestFit="1" customWidth="1"/>
    <col min="15" max="16" width="12.85546875" bestFit="1" customWidth="1"/>
    <col min="17" max="17" width="14.85546875" bestFit="1" customWidth="1"/>
    <col min="18" max="18" width="12.42578125" customWidth="1"/>
    <col min="20" max="21" width="12.85546875" bestFit="1" customWidth="1"/>
    <col min="22" max="23" width="15.85546875" bestFit="1" customWidth="1"/>
    <col min="24" max="24" width="11.42578125" style="413"/>
    <col min="25" max="25" width="12.85546875" style="413" bestFit="1" customWidth="1"/>
    <col min="26" max="26" width="13.28515625" style="413" bestFit="1" customWidth="1"/>
    <col min="27" max="27" width="15.28515625" style="413" bestFit="1" customWidth="1"/>
    <col min="28" max="28" width="15.85546875" style="413" bestFit="1" customWidth="1"/>
    <col min="29" max="36" width="11.42578125" style="413"/>
  </cols>
  <sheetData>
    <row r="1" spans="1:23" ht="12.75" customHeight="1" x14ac:dyDescent="0.2">
      <c r="A1" s="374"/>
      <c r="B1" s="663" t="s">
        <v>1033</v>
      </c>
      <c r="C1" s="663"/>
      <c r="D1" s="663"/>
      <c r="E1" s="663"/>
      <c r="F1" s="663"/>
      <c r="G1" s="663"/>
      <c r="H1" s="252"/>
      <c r="I1" s="252"/>
      <c r="J1" s="252"/>
      <c r="K1" s="252"/>
      <c r="L1" s="252"/>
      <c r="M1" s="252"/>
      <c r="N1" s="374"/>
      <c r="O1" s="374"/>
      <c r="P1" s="374"/>
      <c r="Q1" s="374"/>
      <c r="R1" s="374"/>
      <c r="S1" s="374"/>
      <c r="T1" s="374"/>
      <c r="U1" s="374"/>
      <c r="V1" s="374"/>
      <c r="W1" s="374"/>
    </row>
    <row r="2" spans="1:23" ht="12.75" customHeight="1" x14ac:dyDescent="0.2">
      <c r="A2" s="374"/>
      <c r="B2" s="663"/>
      <c r="C2" s="663"/>
      <c r="D2" s="663"/>
      <c r="E2" s="663"/>
      <c r="F2" s="663"/>
      <c r="G2" s="663"/>
      <c r="H2" s="252" t="str" cm="1">
        <f t="array" ref="H2:I2">'Ausgabe Standortbewertung'!E3:F3</f>
        <v>Teststandort</v>
      </c>
      <c r="I2" s="252">
        <v>0</v>
      </c>
      <c r="J2" s="252"/>
      <c r="K2" s="252"/>
      <c r="L2" s="252"/>
      <c r="M2" s="252"/>
      <c r="N2" s="374"/>
      <c r="O2" s="374"/>
      <c r="P2" s="374"/>
      <c r="Q2" s="374"/>
      <c r="R2" s="374"/>
      <c r="S2" s="374"/>
      <c r="T2" s="374"/>
      <c r="U2" s="374"/>
      <c r="V2" s="374"/>
      <c r="W2" s="374"/>
    </row>
    <row r="3" spans="1:23" x14ac:dyDescent="0.2">
      <c r="A3" s="374"/>
      <c r="B3" s="649" t="s">
        <v>495</v>
      </c>
      <c r="C3" s="649"/>
      <c r="D3" s="649"/>
      <c r="E3" s="667" t="str">
        <f>IF(H2&lt;&gt;0,H2,"")</f>
        <v>Teststandort</v>
      </c>
      <c r="F3" s="667"/>
      <c r="G3" s="667"/>
      <c r="H3" s="252"/>
      <c r="I3" s="252"/>
      <c r="J3" s="252"/>
      <c r="K3" s="252"/>
      <c r="L3" s="252"/>
      <c r="M3" s="252"/>
      <c r="N3" s="374"/>
      <c r="O3" s="374"/>
      <c r="P3" s="374"/>
      <c r="Q3" s="374"/>
      <c r="R3" s="374"/>
      <c r="S3" s="374"/>
      <c r="T3" s="374"/>
      <c r="U3" s="374"/>
      <c r="V3" s="374"/>
      <c r="W3" s="374"/>
    </row>
    <row r="4" spans="1:23" x14ac:dyDescent="0.2">
      <c r="A4" s="374"/>
      <c r="B4" s="374"/>
      <c r="C4" s="374"/>
      <c r="D4" s="374"/>
      <c r="E4" s="374"/>
      <c r="F4" s="374"/>
      <c r="G4" s="374"/>
      <c r="H4" s="252"/>
      <c r="I4" s="252"/>
      <c r="J4" s="252"/>
      <c r="K4" s="252"/>
      <c r="L4" s="252"/>
      <c r="M4" s="252"/>
      <c r="N4" s="374"/>
      <c r="O4" s="374"/>
      <c r="P4" s="374"/>
      <c r="Q4" s="374"/>
      <c r="R4" s="374"/>
      <c r="S4" s="374"/>
      <c r="T4" s="374"/>
      <c r="U4" s="374"/>
      <c r="V4" s="374"/>
      <c r="W4" s="374"/>
    </row>
    <row r="5" spans="1:23" x14ac:dyDescent="0.2">
      <c r="A5" s="374"/>
      <c r="B5" s="648" t="s">
        <v>950</v>
      </c>
      <c r="C5" s="648"/>
      <c r="D5" s="648"/>
      <c r="E5" s="648"/>
      <c r="F5" s="648"/>
      <c r="G5" s="648"/>
      <c r="H5" s="252"/>
      <c r="I5" s="252"/>
      <c r="J5" s="252"/>
      <c r="K5" s="252"/>
      <c r="L5" s="252"/>
      <c r="M5" s="252"/>
      <c r="N5" s="374"/>
      <c r="O5" s="374"/>
      <c r="P5" s="374"/>
      <c r="Q5" s="374"/>
      <c r="R5" s="374"/>
      <c r="S5" s="374"/>
      <c r="T5" s="374"/>
      <c r="U5" s="374"/>
      <c r="V5" s="374"/>
      <c r="W5" s="374"/>
    </row>
    <row r="6" spans="1:23" x14ac:dyDescent="0.2">
      <c r="A6" s="374"/>
      <c r="B6" s="648"/>
      <c r="C6" s="648"/>
      <c r="D6" s="648"/>
      <c r="E6" s="648"/>
      <c r="F6" s="648"/>
      <c r="G6" s="648"/>
      <c r="H6" s="252"/>
      <c r="I6" s="252"/>
      <c r="J6" s="252"/>
      <c r="K6" s="252"/>
      <c r="L6" s="252"/>
      <c r="M6" s="252"/>
      <c r="N6" s="374"/>
      <c r="O6" s="374"/>
      <c r="P6" s="374"/>
      <c r="Q6" s="374"/>
      <c r="R6" s="374"/>
      <c r="S6" s="374"/>
      <c r="T6" s="374"/>
      <c r="U6" s="374"/>
      <c r="V6" s="374"/>
      <c r="W6" s="374"/>
    </row>
    <row r="7" spans="1:23" x14ac:dyDescent="0.2">
      <c r="A7" s="374"/>
      <c r="B7" s="374"/>
      <c r="C7" s="374"/>
      <c r="D7" s="374"/>
      <c r="E7" s="374"/>
      <c r="F7" s="374"/>
      <c r="G7" s="374"/>
      <c r="H7" s="252"/>
      <c r="I7" s="252"/>
      <c r="J7" s="252"/>
      <c r="K7" s="252"/>
      <c r="L7" s="252"/>
      <c r="M7" s="252"/>
      <c r="N7" s="374"/>
      <c r="O7" s="374"/>
      <c r="P7" s="374"/>
      <c r="Q7" s="374"/>
      <c r="R7" s="374"/>
      <c r="S7" s="374"/>
      <c r="T7" s="374"/>
      <c r="U7" s="374"/>
      <c r="V7" s="374"/>
      <c r="W7" s="374"/>
    </row>
    <row r="8" spans="1:23" x14ac:dyDescent="0.2">
      <c r="A8" s="374"/>
      <c r="B8" s="650" t="s">
        <v>951</v>
      </c>
      <c r="C8" s="650"/>
      <c r="D8" s="667" t="str">
        <f>Eingabe!D6</f>
        <v>TRANTER TB050</v>
      </c>
      <c r="E8" s="667"/>
      <c r="F8" s="667"/>
      <c r="G8" s="667"/>
      <c r="H8" s="252"/>
      <c r="I8" s="252"/>
      <c r="J8" s="252"/>
      <c r="K8" s="252"/>
      <c r="L8" s="252"/>
      <c r="M8" s="252"/>
      <c r="N8" s="374"/>
      <c r="O8" s="374"/>
      <c r="P8" s="374"/>
      <c r="Q8" s="374"/>
      <c r="R8" s="374"/>
      <c r="S8" s="374"/>
      <c r="T8" s="374"/>
      <c r="U8" s="374"/>
      <c r="V8" s="374"/>
      <c r="W8" s="374"/>
    </row>
    <row r="9" spans="1:23" x14ac:dyDescent="0.2">
      <c r="A9" s="374"/>
      <c r="B9" s="680" t="s">
        <v>140</v>
      </c>
      <c r="C9" s="680"/>
      <c r="D9" s="359">
        <f>Eingabe!E7</f>
        <v>0.496</v>
      </c>
      <c r="E9" s="681" t="s">
        <v>142</v>
      </c>
      <c r="F9" s="680"/>
      <c r="G9" s="359">
        <f>Eingabe!E9</f>
        <v>8.9999999999999993E-3</v>
      </c>
      <c r="H9" s="252"/>
      <c r="I9" s="252"/>
      <c r="J9" s="252"/>
      <c r="K9" s="252"/>
      <c r="L9" s="252"/>
      <c r="M9" s="252"/>
      <c r="N9" s="374"/>
      <c r="O9" s="374"/>
      <c r="P9" s="374"/>
      <c r="Q9" s="374"/>
      <c r="R9" s="374"/>
      <c r="S9" s="374"/>
      <c r="T9" s="374"/>
      <c r="U9" s="374"/>
      <c r="V9" s="374"/>
      <c r="W9" s="374"/>
    </row>
    <row r="10" spans="1:23" x14ac:dyDescent="0.2">
      <c r="A10" s="374"/>
      <c r="B10" s="680" t="s">
        <v>139</v>
      </c>
      <c r="C10" s="680"/>
      <c r="D10" s="359">
        <f>Eingabe!E8</f>
        <v>0.496</v>
      </c>
      <c r="E10" s="681" t="s">
        <v>141</v>
      </c>
      <c r="F10" s="680"/>
      <c r="G10" s="359">
        <f>Eingabe!E10</f>
        <v>1E-3</v>
      </c>
      <c r="H10" s="252"/>
      <c r="I10" s="252"/>
      <c r="J10" s="252"/>
      <c r="K10" s="252"/>
      <c r="L10" s="252"/>
      <c r="M10" s="252"/>
      <c r="N10" s="374"/>
      <c r="O10" s="374"/>
      <c r="P10" s="374"/>
      <c r="Q10" s="374"/>
      <c r="R10" s="374"/>
      <c r="S10" s="374"/>
      <c r="T10" s="374"/>
      <c r="U10" s="374"/>
      <c r="V10" s="374"/>
      <c r="W10" s="374"/>
    </row>
    <row r="11" spans="1:23" x14ac:dyDescent="0.2">
      <c r="A11" s="374"/>
      <c r="B11" s="680" t="s">
        <v>952</v>
      </c>
      <c r="C11" s="680"/>
      <c r="D11" s="359">
        <f>IF(Eingabe!E3=TRUE,Eingabe!D11,Wärmeübertrager!L44)</f>
        <v>17</v>
      </c>
      <c r="E11" s="374"/>
      <c r="F11" s="374"/>
      <c r="G11" s="374"/>
      <c r="H11" s="252"/>
      <c r="I11" s="252"/>
      <c r="J11" s="252"/>
      <c r="K11" s="252"/>
      <c r="L11" s="252"/>
      <c r="M11" s="252"/>
      <c r="N11" s="374"/>
      <c r="O11" s="374"/>
      <c r="P11" s="374"/>
      <c r="Q11" s="374"/>
      <c r="R11" s="374"/>
      <c r="S11" s="374"/>
      <c r="T11" s="374"/>
      <c r="U11" s="374"/>
      <c r="V11" s="374"/>
      <c r="W11" s="374"/>
    </row>
    <row r="12" spans="1:23" x14ac:dyDescent="0.2">
      <c r="A12" s="374"/>
      <c r="B12" s="374"/>
      <c r="C12" s="374"/>
      <c r="D12" s="374"/>
      <c r="E12" s="374"/>
      <c r="F12" s="374"/>
      <c r="G12" s="374"/>
      <c r="H12" s="252"/>
      <c r="I12" s="252"/>
      <c r="J12" s="252"/>
      <c r="K12" s="252"/>
      <c r="L12" s="252"/>
      <c r="M12" s="252"/>
      <c r="N12" s="374"/>
      <c r="O12" s="374"/>
      <c r="P12" s="374"/>
      <c r="Q12" s="374"/>
      <c r="R12" s="374"/>
      <c r="S12" s="374"/>
      <c r="T12" s="374"/>
      <c r="U12" s="374"/>
      <c r="V12" s="374"/>
      <c r="W12" s="374"/>
    </row>
    <row r="13" spans="1:23" x14ac:dyDescent="0.2">
      <c r="A13" s="374"/>
      <c r="B13" s="648" t="s">
        <v>953</v>
      </c>
      <c r="C13" s="648"/>
      <c r="D13" s="648"/>
      <c r="E13" s="648"/>
      <c r="F13" s="648"/>
      <c r="G13" s="648"/>
      <c r="H13" s="252"/>
      <c r="I13" s="252"/>
      <c r="J13" s="252"/>
      <c r="K13" s="252"/>
      <c r="L13" s="252"/>
      <c r="M13" s="252"/>
      <c r="N13" s="374"/>
      <c r="O13" s="374"/>
      <c r="P13" s="374"/>
      <c r="Q13" s="374"/>
      <c r="R13" s="374"/>
      <c r="S13" s="374"/>
      <c r="T13" s="374"/>
      <c r="U13" s="374"/>
      <c r="V13" s="374"/>
      <c r="W13" s="374"/>
    </row>
    <row r="14" spans="1:23" x14ac:dyDescent="0.2">
      <c r="A14" s="374"/>
      <c r="B14" s="648"/>
      <c r="C14" s="648"/>
      <c r="D14" s="648"/>
      <c r="E14" s="648"/>
      <c r="F14" s="648"/>
      <c r="G14" s="648"/>
      <c r="H14" s="252"/>
      <c r="I14" s="252"/>
      <c r="J14" s="252"/>
      <c r="K14" s="252"/>
      <c r="L14" s="252"/>
      <c r="M14" s="252"/>
      <c r="N14" s="374"/>
      <c r="O14" s="374"/>
      <c r="P14" s="374"/>
      <c r="Q14" s="374"/>
      <c r="R14" s="374"/>
      <c r="S14" s="374"/>
      <c r="T14" s="374"/>
      <c r="U14" s="374"/>
      <c r="V14" s="374"/>
      <c r="W14" s="374"/>
    </row>
    <row r="15" spans="1:23" x14ac:dyDescent="0.2">
      <c r="A15" s="374"/>
      <c r="B15" s="374"/>
      <c r="C15" s="374"/>
      <c r="D15" s="374"/>
      <c r="E15" s="374"/>
      <c r="F15" s="374"/>
      <c r="G15" s="374"/>
      <c r="H15" s="252"/>
      <c r="I15" s="252"/>
      <c r="J15" s="252"/>
      <c r="K15" s="252"/>
      <c r="L15" s="252"/>
      <c r="M15" s="252"/>
      <c r="N15" s="374"/>
      <c r="O15" s="374"/>
      <c r="P15" s="374"/>
      <c r="Q15" s="374"/>
      <c r="R15" s="374"/>
      <c r="S15" s="374"/>
      <c r="T15" s="374"/>
      <c r="U15" s="374"/>
      <c r="V15" s="374"/>
      <c r="W15" s="374"/>
    </row>
    <row r="16" spans="1:23" x14ac:dyDescent="0.2">
      <c r="A16" s="374"/>
      <c r="B16" s="650" t="s">
        <v>954</v>
      </c>
      <c r="C16" s="650"/>
      <c r="D16" s="650" t="s">
        <v>955</v>
      </c>
      <c r="E16" s="650"/>
      <c r="F16" s="650" t="s">
        <v>956</v>
      </c>
      <c r="G16" s="650"/>
      <c r="H16" s="252"/>
      <c r="I16" s="252"/>
      <c r="J16" s="252"/>
      <c r="K16" s="252"/>
      <c r="L16" s="252"/>
      <c r="M16" s="252"/>
      <c r="N16" s="374"/>
      <c r="O16" s="374"/>
      <c r="P16" s="374"/>
      <c r="Q16" s="374"/>
      <c r="R16" s="374"/>
      <c r="S16" s="374"/>
      <c r="T16" s="374"/>
      <c r="U16" s="374"/>
      <c r="V16" s="374"/>
      <c r="W16" s="374"/>
    </row>
    <row r="17" spans="1:36" x14ac:dyDescent="0.2">
      <c r="A17" s="374"/>
      <c r="B17" s="667" t="str">
        <f>'Berechnung-WÜ-Material'!C28</f>
        <v>&gt;140</v>
      </c>
      <c r="C17" s="667"/>
      <c r="D17" s="667" t="str">
        <f>'Berechnung-WÜ-Material'!C29</f>
        <v>0,1-0,3</v>
      </c>
      <c r="E17" s="667"/>
      <c r="F17" s="667" t="str">
        <f>'Berechnung-WÜ-Material'!C30</f>
        <v>60-75</v>
      </c>
      <c r="G17" s="667"/>
      <c r="H17" s="252"/>
      <c r="I17" s="252"/>
      <c r="J17" s="252"/>
      <c r="K17" s="252"/>
      <c r="L17" s="252"/>
      <c r="M17" s="252"/>
      <c r="N17" s="374"/>
      <c r="O17" s="374"/>
      <c r="P17" s="374"/>
      <c r="Q17" s="374"/>
      <c r="R17" s="374"/>
      <c r="S17" s="374"/>
      <c r="T17" s="374"/>
      <c r="U17" s="374"/>
      <c r="V17" s="374"/>
      <c r="W17" s="374"/>
    </row>
    <row r="18" spans="1:36" x14ac:dyDescent="0.2">
      <c r="A18" s="374"/>
      <c r="B18" s="374"/>
      <c r="C18" s="374"/>
      <c r="D18" s="374"/>
      <c r="E18" s="374"/>
      <c r="F18" s="374"/>
      <c r="G18" s="374"/>
      <c r="H18" s="252"/>
      <c r="I18" s="252"/>
      <c r="J18" s="252"/>
      <c r="K18" s="252"/>
      <c r="L18" s="252"/>
      <c r="M18" s="252"/>
      <c r="N18" s="374"/>
      <c r="O18" s="374"/>
      <c r="P18" s="374"/>
      <c r="Q18" s="374"/>
      <c r="R18" s="374"/>
      <c r="S18" s="374"/>
      <c r="T18" s="374"/>
      <c r="U18" s="374"/>
      <c r="V18" s="374"/>
      <c r="W18" s="374"/>
    </row>
    <row r="19" spans="1:36" ht="12.75" customHeight="1" x14ac:dyDescent="0.2">
      <c r="A19" s="374"/>
      <c r="B19" s="670" t="s">
        <v>957</v>
      </c>
      <c r="C19" s="670"/>
      <c r="D19" s="683" t="str">
        <f>IF(AND('Berechnung-WÜ-Material'!G22&gt;'Berechnung-WÜ-Material'!G23,'Berechnung-WÜ-Material'!G22&gt;'Berechnung-WÜ-Material'!G24),"Viel Biofouling zu erwarten, antibakterielle Oberfläche bevorzugen","Keine weiteren Empfehlungen")</f>
        <v>Viel Biofouling zu erwarten, antibakterielle Oberfläche bevorzugen</v>
      </c>
      <c r="E19" s="683"/>
      <c r="F19" s="683"/>
      <c r="G19" s="683"/>
      <c r="H19" s="252"/>
      <c r="I19" s="252"/>
      <c r="J19" s="252"/>
      <c r="K19" s="252"/>
      <c r="L19" s="252"/>
      <c r="M19" s="252"/>
      <c r="N19" s="374"/>
      <c r="O19" s="374"/>
      <c r="P19" s="374"/>
      <c r="Q19" s="374"/>
      <c r="R19" s="374"/>
      <c r="S19" s="374"/>
      <c r="T19" s="374"/>
      <c r="U19" s="374"/>
      <c r="V19" s="374"/>
      <c r="W19" s="374"/>
    </row>
    <row r="20" spans="1:36" x14ac:dyDescent="0.2">
      <c r="A20" s="374"/>
      <c r="B20" s="670"/>
      <c r="C20" s="670"/>
      <c r="D20" s="683"/>
      <c r="E20" s="683"/>
      <c r="F20" s="683"/>
      <c r="G20" s="683"/>
      <c r="H20" s="252"/>
      <c r="I20" s="252"/>
      <c r="J20" s="252"/>
      <c r="K20" s="252"/>
      <c r="L20" s="252"/>
      <c r="M20" s="252"/>
      <c r="N20" s="374"/>
      <c r="O20" s="374"/>
      <c r="P20" s="374"/>
      <c r="Q20" s="374"/>
      <c r="R20" s="374"/>
      <c r="S20" s="374"/>
      <c r="T20" s="374"/>
      <c r="U20" s="374"/>
      <c r="V20" s="374"/>
      <c r="W20" s="374"/>
    </row>
    <row r="21" spans="1:36" x14ac:dyDescent="0.2">
      <c r="A21" s="374"/>
      <c r="B21" s="374"/>
      <c r="C21" s="374"/>
      <c r="D21" s="374"/>
      <c r="E21" s="374"/>
      <c r="F21" s="374"/>
      <c r="G21" s="374"/>
      <c r="H21" s="252"/>
      <c r="I21" s="252"/>
      <c r="J21" s="252"/>
      <c r="K21" s="252"/>
      <c r="L21" s="252"/>
      <c r="M21" s="252"/>
      <c r="N21" s="374"/>
      <c r="O21" s="374"/>
      <c r="P21" s="374"/>
      <c r="Q21" s="374"/>
      <c r="R21" s="374"/>
      <c r="S21" s="374"/>
      <c r="T21" s="374"/>
      <c r="U21" s="374"/>
      <c r="V21" s="374"/>
      <c r="W21" s="374"/>
    </row>
    <row r="22" spans="1:36" x14ac:dyDescent="0.2">
      <c r="A22" s="374"/>
      <c r="B22" s="648" t="s">
        <v>958</v>
      </c>
      <c r="C22" s="648"/>
      <c r="D22" s="648"/>
      <c r="E22" s="648"/>
      <c r="F22" s="648"/>
      <c r="G22" s="648"/>
      <c r="H22" s="252"/>
      <c r="I22" s="252"/>
      <c r="J22" s="252"/>
      <c r="K22" s="252"/>
      <c r="L22" s="252"/>
      <c r="M22" s="252"/>
      <c r="N22" s="374"/>
      <c r="O22" s="374"/>
      <c r="P22" s="374"/>
      <c r="Q22" s="374"/>
      <c r="R22" s="374"/>
      <c r="S22" s="374"/>
      <c r="T22" s="374"/>
      <c r="U22" s="374"/>
      <c r="V22" s="374"/>
      <c r="W22" s="374"/>
    </row>
    <row r="23" spans="1:36" x14ac:dyDescent="0.2">
      <c r="A23" s="374"/>
      <c r="B23" s="648"/>
      <c r="C23" s="648"/>
      <c r="D23" s="648"/>
      <c r="E23" s="648"/>
      <c r="F23" s="648"/>
      <c r="G23" s="648"/>
      <c r="H23" s="252"/>
      <c r="I23" s="252"/>
      <c r="J23" s="252"/>
      <c r="K23" s="252"/>
      <c r="L23" s="252"/>
      <c r="M23" s="252"/>
      <c r="N23" s="374"/>
      <c r="O23" s="374"/>
      <c r="P23" s="374"/>
      <c r="Q23" s="374"/>
      <c r="R23" s="374"/>
      <c r="S23" s="374"/>
      <c r="T23" s="374"/>
      <c r="U23" s="374"/>
      <c r="V23" s="374"/>
      <c r="W23" s="374"/>
    </row>
    <row r="24" spans="1:36" x14ac:dyDescent="0.2">
      <c r="A24" s="374"/>
      <c r="B24" s="374"/>
      <c r="C24" s="374"/>
      <c r="D24" s="374"/>
      <c r="E24" s="374"/>
      <c r="F24" s="374"/>
      <c r="G24" s="374"/>
      <c r="H24" s="252"/>
      <c r="I24" s="252"/>
      <c r="J24" s="252"/>
      <c r="K24" s="252"/>
      <c r="L24" s="252"/>
      <c r="M24" s="252"/>
      <c r="N24" s="374"/>
      <c r="O24" s="374"/>
      <c r="P24" s="374"/>
      <c r="Q24" s="374"/>
      <c r="R24" s="374"/>
      <c r="S24" s="374"/>
      <c r="T24" s="374"/>
      <c r="U24" s="374"/>
      <c r="V24" s="374"/>
      <c r="W24" s="374"/>
    </row>
    <row r="25" spans="1:36" s="241" customFormat="1" ht="12.75" customHeight="1" x14ac:dyDescent="0.2">
      <c r="A25" s="374"/>
      <c r="B25" s="670" t="s">
        <v>930</v>
      </c>
      <c r="C25" s="670"/>
      <c r="D25" s="641" t="s">
        <v>959</v>
      </c>
      <c r="E25" s="670" t="s">
        <v>566</v>
      </c>
      <c r="F25" s="679" t="s">
        <v>960</v>
      </c>
      <c r="G25" s="672" t="s">
        <v>931</v>
      </c>
      <c r="H25" s="252"/>
      <c r="I25" s="252"/>
      <c r="J25" s="252"/>
      <c r="K25" s="252"/>
      <c r="L25" s="252"/>
      <c r="M25" s="252"/>
      <c r="N25" s="252"/>
      <c r="O25" s="252"/>
      <c r="P25" s="252"/>
      <c r="Q25" s="252"/>
      <c r="R25" s="252"/>
      <c r="S25" s="252"/>
      <c r="T25" s="252"/>
      <c r="U25" s="252"/>
      <c r="V25" s="252"/>
      <c r="W25" s="252"/>
      <c r="X25" s="252"/>
      <c r="Y25" s="252"/>
      <c r="Z25" s="252"/>
      <c r="AA25" s="252"/>
      <c r="AB25" s="252"/>
      <c r="AC25" s="252"/>
      <c r="AD25" s="413"/>
      <c r="AE25" s="413"/>
      <c r="AF25" s="413"/>
      <c r="AG25" s="413"/>
      <c r="AH25" s="413"/>
      <c r="AI25" s="413"/>
      <c r="AJ25" s="413"/>
    </row>
    <row r="26" spans="1:36" ht="11.25" customHeight="1" x14ac:dyDescent="0.2">
      <c r="A26" s="374"/>
      <c r="B26" s="670"/>
      <c r="C26" s="670"/>
      <c r="D26" s="641"/>
      <c r="E26" s="670"/>
      <c r="F26" s="679"/>
      <c r="G26" s="672"/>
      <c r="H26" s="252"/>
      <c r="I26" s="252"/>
      <c r="J26" s="252"/>
      <c r="K26" s="252"/>
      <c r="L26" s="252"/>
      <c r="M26" s="252"/>
      <c r="N26" s="252"/>
      <c r="O26" s="252"/>
      <c r="P26" s="252"/>
      <c r="Q26" s="252"/>
      <c r="R26" s="252"/>
      <c r="S26" s="252"/>
      <c r="T26" s="252"/>
      <c r="U26" s="252"/>
      <c r="V26" s="252"/>
      <c r="W26" s="252"/>
      <c r="X26" s="252"/>
      <c r="Y26" s="252"/>
      <c r="Z26" s="252"/>
      <c r="AA26" s="252"/>
      <c r="AB26" s="252"/>
      <c r="AC26" s="252"/>
    </row>
    <row r="27" spans="1:36" x14ac:dyDescent="0.2">
      <c r="A27" s="374"/>
      <c r="B27" s="667" t="str">
        <f>I27</f>
        <v>NTS</v>
      </c>
      <c r="C27" s="667"/>
      <c r="D27" s="360">
        <f>L27</f>
        <v>160</v>
      </c>
      <c r="E27" s="361">
        <f>M27</f>
        <v>0.2</v>
      </c>
      <c r="F27" s="362">
        <f>N27</f>
        <v>24</v>
      </c>
      <c r="G27" s="423">
        <f>O27</f>
        <v>0.91626522274532629</v>
      </c>
      <c r="H27" s="252"/>
      <c r="I27" s="252" t="str" cm="1">
        <f t="array" ref="I27:O31">_xlfn.SORTBY('Berechnung-WÜ-Material'!B34:H38,'Berechnung-WÜ-Material'!H34:H38,-1)</f>
        <v>NTS</v>
      </c>
      <c r="J27" s="252">
        <v>0</v>
      </c>
      <c r="K27" s="252">
        <v>0</v>
      </c>
      <c r="L27" s="252">
        <v>160</v>
      </c>
      <c r="M27" s="252">
        <v>0.2</v>
      </c>
      <c r="N27" s="252">
        <v>24</v>
      </c>
      <c r="O27" s="252">
        <v>0.91626522274532629</v>
      </c>
      <c r="P27" s="252"/>
      <c r="Q27" s="252"/>
      <c r="R27" s="252"/>
      <c r="S27" s="252"/>
      <c r="T27" s="252"/>
      <c r="U27" s="252"/>
      <c r="V27" s="252"/>
      <c r="W27" s="252"/>
      <c r="X27" s="252"/>
      <c r="Y27" s="252"/>
      <c r="Z27" s="252"/>
      <c r="AA27" s="252"/>
      <c r="AB27" s="252"/>
      <c r="AC27" s="252"/>
    </row>
    <row r="28" spans="1:36" x14ac:dyDescent="0.2">
      <c r="A28" s="374"/>
      <c r="B28" s="667" t="str">
        <f t="shared" ref="B28:B31" si="0">I28</f>
        <v>Ti-DLC</v>
      </c>
      <c r="C28" s="667"/>
      <c r="D28" s="360">
        <f t="shared" ref="D28:D30" si="1">L28</f>
        <v>92</v>
      </c>
      <c r="E28" s="361">
        <f t="shared" ref="E28:E30" si="2">M28</f>
        <v>0.21299999999999999</v>
      </c>
      <c r="F28" s="362">
        <f t="shared" ref="F28:F30" si="3">N28</f>
        <v>42</v>
      </c>
      <c r="G28" s="423">
        <f t="shared" ref="G28:G30" si="4">O28</f>
        <v>0.87203788786692005</v>
      </c>
      <c r="H28" s="252"/>
      <c r="I28" s="252" t="str">
        <v>Ti-DLC</v>
      </c>
      <c r="J28" s="252">
        <v>0</v>
      </c>
      <c r="K28" s="252">
        <v>0</v>
      </c>
      <c r="L28" s="252">
        <v>92</v>
      </c>
      <c r="M28" s="252">
        <v>0.21299999999999999</v>
      </c>
      <c r="N28" s="252">
        <v>42</v>
      </c>
      <c r="O28" s="252">
        <v>0.87203788786692005</v>
      </c>
      <c r="P28" s="252"/>
      <c r="Q28" s="252"/>
      <c r="R28" s="252"/>
      <c r="S28" s="252"/>
      <c r="T28" s="252"/>
      <c r="U28" s="252"/>
      <c r="V28" s="252"/>
      <c r="W28" s="252"/>
      <c r="X28" s="252"/>
      <c r="Y28" s="252"/>
      <c r="Z28" s="252"/>
      <c r="AA28" s="252"/>
      <c r="AB28" s="252"/>
      <c r="AC28" s="252"/>
    </row>
    <row r="29" spans="1:36" x14ac:dyDescent="0.2">
      <c r="A29" s="374"/>
      <c r="B29" s="667" t="str">
        <f t="shared" si="0"/>
        <v>F-DLC (5,0 % F)</v>
      </c>
      <c r="C29" s="667"/>
      <c r="D29" s="360">
        <f t="shared" si="1"/>
        <v>82.5</v>
      </c>
      <c r="E29" s="361">
        <f t="shared" si="2"/>
        <v>0.14499999999999999</v>
      </c>
      <c r="F29" s="362">
        <f t="shared" si="3"/>
        <v>32.14</v>
      </c>
      <c r="G29" s="423">
        <f t="shared" si="4"/>
        <v>0.87203788786692005</v>
      </c>
      <c r="H29" s="252"/>
      <c r="I29" s="252" t="str">
        <v>F-DLC (5,0 % F)</v>
      </c>
      <c r="J29" s="252">
        <v>0</v>
      </c>
      <c r="K29" s="252">
        <v>0</v>
      </c>
      <c r="L29" s="252">
        <v>82.5</v>
      </c>
      <c r="M29" s="252">
        <v>0.14499999999999999</v>
      </c>
      <c r="N29" s="252">
        <v>32.14</v>
      </c>
      <c r="O29" s="252">
        <v>0.87203788786692005</v>
      </c>
      <c r="P29" s="252"/>
      <c r="Q29" s="252"/>
      <c r="R29" s="252"/>
      <c r="S29" s="252"/>
      <c r="T29" s="252"/>
      <c r="U29" s="252"/>
      <c r="V29" s="252"/>
      <c r="W29" s="252"/>
      <c r="X29" s="252"/>
      <c r="Y29" s="252"/>
      <c r="Z29" s="252"/>
      <c r="AA29" s="252"/>
      <c r="AB29" s="252"/>
      <c r="AC29" s="252"/>
    </row>
    <row r="30" spans="1:36" x14ac:dyDescent="0.2">
      <c r="A30" s="374"/>
      <c r="B30" s="667" t="str">
        <f t="shared" si="0"/>
        <v>DLC-82KW</v>
      </c>
      <c r="C30" s="667"/>
      <c r="D30" s="360">
        <f t="shared" si="1"/>
        <v>82</v>
      </c>
      <c r="E30" s="361">
        <f t="shared" si="2"/>
        <v>0.14499999999999999</v>
      </c>
      <c r="F30" s="362">
        <f t="shared" si="3"/>
        <v>40</v>
      </c>
      <c r="G30" s="423">
        <f t="shared" si="4"/>
        <v>0.87203788786692005</v>
      </c>
      <c r="H30" s="252"/>
      <c r="I30" s="252" t="str">
        <v>DLC-82KW</v>
      </c>
      <c r="J30" s="252">
        <v>0</v>
      </c>
      <c r="K30" s="252">
        <v>0</v>
      </c>
      <c r="L30" s="252">
        <v>82</v>
      </c>
      <c r="M30" s="252">
        <v>0.14499999999999999</v>
      </c>
      <c r="N30" s="252">
        <v>40</v>
      </c>
      <c r="O30" s="252">
        <v>0.87203788786692005</v>
      </c>
      <c r="P30" s="252"/>
      <c r="Q30" s="252"/>
      <c r="R30" s="252"/>
      <c r="S30" s="252"/>
      <c r="T30" s="252"/>
      <c r="U30" s="252"/>
      <c r="V30" s="252"/>
      <c r="W30" s="252"/>
      <c r="X30" s="252"/>
      <c r="Y30" s="252"/>
      <c r="Z30" s="252"/>
      <c r="AA30" s="252"/>
      <c r="AB30" s="252"/>
      <c r="AC30" s="252"/>
    </row>
    <row r="31" spans="1:36" x14ac:dyDescent="0.2">
      <c r="A31" s="374"/>
      <c r="B31" s="667" t="str">
        <f t="shared" si="0"/>
        <v/>
      </c>
      <c r="C31" s="667"/>
      <c r="D31" s="360" t="str">
        <f t="shared" ref="D31" si="5">L31</f>
        <v/>
      </c>
      <c r="E31" s="361" t="str">
        <f t="shared" ref="E31" si="6">M31</f>
        <v/>
      </c>
      <c r="F31" s="362" t="str">
        <f t="shared" ref="F31" si="7">N31</f>
        <v/>
      </c>
      <c r="G31" s="247"/>
      <c r="H31" s="252"/>
      <c r="I31" s="252" t="str">
        <v/>
      </c>
      <c r="J31" s="252">
        <v>0</v>
      </c>
      <c r="K31" s="252">
        <v>0</v>
      </c>
      <c r="L31" s="252" t="str">
        <v/>
      </c>
      <c r="M31" s="252" t="str">
        <v/>
      </c>
      <c r="N31" s="252" t="str">
        <v/>
      </c>
      <c r="O31" s="252">
        <v>0</v>
      </c>
      <c r="P31" s="252"/>
      <c r="Q31" s="252"/>
      <c r="R31" s="252"/>
      <c r="S31" s="252"/>
      <c r="T31" s="252"/>
      <c r="U31" s="252"/>
      <c r="V31" s="252"/>
      <c r="W31" s="252"/>
      <c r="X31" s="252"/>
      <c r="Y31" s="252"/>
      <c r="Z31" s="252"/>
      <c r="AA31" s="252"/>
      <c r="AB31" s="252"/>
      <c r="AC31" s="252"/>
    </row>
    <row r="32" spans="1:36" x14ac:dyDescent="0.2">
      <c r="A32" s="374"/>
      <c r="B32" s="374"/>
      <c r="C32" s="374"/>
      <c r="D32" s="374"/>
      <c r="E32" s="374"/>
      <c r="F32" s="374"/>
      <c r="G32" s="374"/>
      <c r="H32" s="252"/>
      <c r="I32" s="252"/>
      <c r="J32" s="252"/>
      <c r="K32" s="252"/>
      <c r="L32" s="252"/>
      <c r="M32" s="252"/>
      <c r="N32" s="252"/>
      <c r="O32" s="252"/>
      <c r="P32" s="252"/>
      <c r="Q32" s="252"/>
      <c r="R32" s="252"/>
      <c r="S32" s="252"/>
      <c r="T32" s="252"/>
      <c r="U32" s="252"/>
      <c r="V32" s="252"/>
      <c r="W32" s="252"/>
      <c r="X32" s="252"/>
      <c r="Y32" s="252"/>
      <c r="Z32" s="252"/>
      <c r="AA32" s="252"/>
      <c r="AB32" s="252"/>
      <c r="AC32" s="252"/>
    </row>
    <row r="33" spans="1:29" x14ac:dyDescent="0.2">
      <c r="A33" s="374"/>
      <c r="B33" s="648" t="s">
        <v>934</v>
      </c>
      <c r="C33" s="648"/>
      <c r="D33" s="648"/>
      <c r="E33" s="648"/>
      <c r="F33" s="648"/>
      <c r="G33" s="648"/>
      <c r="H33" s="252"/>
      <c r="I33" s="252"/>
      <c r="J33" s="252"/>
      <c r="K33" s="252"/>
      <c r="L33" s="252"/>
      <c r="M33" s="252"/>
      <c r="N33" s="252"/>
      <c r="O33" s="252"/>
      <c r="P33" s="252"/>
      <c r="Q33" s="252"/>
      <c r="R33" s="252"/>
      <c r="S33" s="252"/>
      <c r="T33" s="252"/>
      <c r="U33" s="252"/>
      <c r="V33" s="252"/>
      <c r="W33" s="252"/>
      <c r="X33" s="252"/>
      <c r="Y33" s="252"/>
      <c r="Z33" s="252"/>
      <c r="AA33" s="252"/>
      <c r="AB33" s="252"/>
      <c r="AC33" s="252"/>
    </row>
    <row r="34" spans="1:29" x14ac:dyDescent="0.2">
      <c r="A34" s="374"/>
      <c r="B34" s="648"/>
      <c r="C34" s="648"/>
      <c r="D34" s="648"/>
      <c r="E34" s="648"/>
      <c r="F34" s="648"/>
      <c r="G34" s="648"/>
      <c r="H34" s="252"/>
      <c r="I34" s="252"/>
      <c r="J34" s="252"/>
      <c r="K34" s="252"/>
      <c r="L34" s="252"/>
      <c r="M34" s="252"/>
      <c r="N34" s="252"/>
      <c r="O34" s="252"/>
      <c r="P34" s="252"/>
      <c r="Q34" s="252"/>
      <c r="R34" s="252"/>
      <c r="S34" s="252"/>
      <c r="T34" s="252"/>
      <c r="U34" s="252"/>
      <c r="V34" s="252"/>
      <c r="W34" s="252"/>
      <c r="X34" s="252"/>
      <c r="Y34" s="252"/>
      <c r="Z34" s="252"/>
      <c r="AA34" s="252"/>
      <c r="AB34" s="252"/>
      <c r="AC34" s="252"/>
    </row>
    <row r="35" spans="1:29" x14ac:dyDescent="0.2">
      <c r="A35" s="374"/>
      <c r="B35" s="374"/>
      <c r="C35" s="374"/>
      <c r="D35" s="374"/>
      <c r="E35" s="374"/>
      <c r="F35" s="374"/>
      <c r="G35" s="374"/>
      <c r="H35" s="252"/>
      <c r="I35" s="252"/>
      <c r="J35" s="252"/>
      <c r="K35" s="252"/>
      <c r="L35" s="252"/>
      <c r="M35" s="252"/>
      <c r="N35" s="252"/>
      <c r="O35" s="252"/>
      <c r="P35" s="252"/>
      <c r="Q35" s="252"/>
      <c r="R35" s="252"/>
      <c r="S35" s="252"/>
      <c r="T35" s="252"/>
      <c r="U35" s="252"/>
      <c r="V35" s="252"/>
      <c r="W35" s="252"/>
      <c r="X35" s="252"/>
      <c r="Y35" s="252"/>
      <c r="Z35" s="252"/>
      <c r="AA35" s="252"/>
      <c r="AB35" s="252"/>
      <c r="AC35" s="252"/>
    </row>
    <row r="36" spans="1:29" x14ac:dyDescent="0.2">
      <c r="A36" s="374"/>
      <c r="B36" s="670" t="s">
        <v>930</v>
      </c>
      <c r="C36" s="670"/>
      <c r="D36" s="641" t="s">
        <v>959</v>
      </c>
      <c r="E36" s="670" t="s">
        <v>566</v>
      </c>
      <c r="F36" s="679" t="s">
        <v>960</v>
      </c>
      <c r="G36" s="672" t="s">
        <v>931</v>
      </c>
      <c r="H36" s="252"/>
      <c r="I36" s="252"/>
      <c r="J36" s="252"/>
      <c r="K36" s="252"/>
      <c r="L36" s="252"/>
      <c r="M36" s="252"/>
      <c r="N36" s="252"/>
      <c r="O36" s="252"/>
      <c r="P36" s="252"/>
      <c r="Q36" s="252"/>
      <c r="R36" s="252"/>
      <c r="S36" s="252"/>
      <c r="T36" s="252"/>
      <c r="U36" s="252"/>
      <c r="V36" s="252"/>
      <c r="W36" s="252"/>
      <c r="X36" s="252"/>
      <c r="Y36" s="252"/>
      <c r="Z36" s="252"/>
      <c r="AA36" s="252"/>
      <c r="AB36" s="252"/>
      <c r="AC36" s="252"/>
    </row>
    <row r="37" spans="1:29" x14ac:dyDescent="0.2">
      <c r="A37" s="374"/>
      <c r="B37" s="670"/>
      <c r="C37" s="670"/>
      <c r="D37" s="641"/>
      <c r="E37" s="670"/>
      <c r="F37" s="679"/>
      <c r="G37" s="672"/>
      <c r="H37" s="252"/>
      <c r="I37" s="252" t="s">
        <v>471</v>
      </c>
      <c r="J37" s="252"/>
      <c r="K37" s="252"/>
      <c r="L37" s="252"/>
      <c r="M37" s="252"/>
      <c r="N37" s="252"/>
      <c r="O37" s="252"/>
      <c r="P37" s="252"/>
      <c r="Q37" s="252"/>
      <c r="R37" s="252"/>
      <c r="S37" s="252"/>
      <c r="T37" s="252"/>
      <c r="U37" s="252"/>
      <c r="V37" s="252"/>
      <c r="W37" s="252"/>
      <c r="X37" s="252"/>
      <c r="Y37" s="252"/>
      <c r="Z37" s="252"/>
      <c r="AA37" s="252"/>
      <c r="AB37" s="252"/>
      <c r="AC37" s="252"/>
    </row>
    <row r="38" spans="1:29" x14ac:dyDescent="0.2">
      <c r="A38" s="374"/>
      <c r="B38" s="669" t="s">
        <v>758</v>
      </c>
      <c r="C38" s="669"/>
      <c r="D38" s="360">
        <f>'Berechnung-WÜ-Material'!E43</f>
        <v>158</v>
      </c>
      <c r="E38" s="361">
        <f>'Berechnung-WÜ-Material'!F43</f>
        <v>9.1819999999999999E-2</v>
      </c>
      <c r="F38" s="362">
        <f>'Berechnung-WÜ-Material'!G43</f>
        <v>29.7</v>
      </c>
      <c r="G38" s="423">
        <f>'Berechnung-WÜ-Material'!H43</f>
        <v>0.7828853708260628</v>
      </c>
      <c r="H38" s="252"/>
      <c r="I38" s="252">
        <f>VLOOKUP(B38,'Daten-Materialien'!B2:AD238,29,FALSE)</f>
        <v>0</v>
      </c>
      <c r="J38" s="252"/>
      <c r="K38" s="252"/>
      <c r="L38" s="252"/>
      <c r="M38" s="252"/>
      <c r="N38" s="252"/>
      <c r="O38" s="252"/>
      <c r="P38" s="252"/>
      <c r="Q38" s="252"/>
      <c r="R38" s="252"/>
      <c r="S38" s="252"/>
      <c r="T38" s="252"/>
      <c r="U38" s="252"/>
      <c r="V38" s="252"/>
      <c r="W38" s="252"/>
      <c r="X38" s="252"/>
      <c r="Y38" s="252"/>
      <c r="Z38" s="252"/>
      <c r="AA38" s="252"/>
      <c r="AB38" s="252"/>
      <c r="AC38" s="252"/>
    </row>
    <row r="39" spans="1:29" x14ac:dyDescent="0.2">
      <c r="A39" s="374"/>
      <c r="B39" s="669" t="s">
        <v>698</v>
      </c>
      <c r="C39" s="669"/>
      <c r="D39" s="360">
        <f>'Berechnung-WÜ-Material'!E44</f>
        <v>65</v>
      </c>
      <c r="E39" s="361">
        <f>'Berechnung-WÜ-Material'!F44</f>
        <v>7.0000000000000007E-2</v>
      </c>
      <c r="F39" s="362">
        <f>'Berechnung-WÜ-Material'!G44</f>
        <v>39.5</v>
      </c>
      <c r="G39" s="423">
        <f>'Berechnung-WÜ-Material'!H44</f>
        <v>0.66696978924305339</v>
      </c>
      <c r="H39" s="252"/>
      <c r="I39" s="252" t="str">
        <f>VLOOKUP(B39,'Daten-Materialien'!B2:AD238,29,FALSE)</f>
        <v>127 €/Platte</v>
      </c>
      <c r="J39" s="252"/>
      <c r="K39" s="252"/>
      <c r="L39" s="252"/>
      <c r="M39" s="252"/>
      <c r="N39" s="252"/>
      <c r="O39" s="252"/>
      <c r="P39" s="252"/>
      <c r="Q39" s="252"/>
      <c r="R39" s="252"/>
      <c r="S39" s="252"/>
      <c r="T39" s="252"/>
      <c r="U39" s="252"/>
      <c r="V39" s="252"/>
      <c r="W39" s="252"/>
      <c r="X39" s="252"/>
      <c r="Y39" s="252"/>
      <c r="Z39" s="252"/>
      <c r="AA39" s="252"/>
      <c r="AB39" s="252"/>
      <c r="AC39" s="252"/>
    </row>
    <row r="40" spans="1:29" x14ac:dyDescent="0.2">
      <c r="A40" s="374"/>
      <c r="B40" s="669" t="s">
        <v>917</v>
      </c>
      <c r="C40" s="669"/>
      <c r="D40" s="360">
        <f>'Berechnung-WÜ-Material'!E45</f>
        <v>72</v>
      </c>
      <c r="E40" s="361">
        <f>'Berechnung-WÜ-Material'!F45</f>
        <v>0.05</v>
      </c>
      <c r="F40" s="362">
        <f>'Berechnung-WÜ-Material'!G45</f>
        <v>50</v>
      </c>
      <c r="G40" s="423">
        <f>'Berechnung-WÜ-Material'!H45</f>
        <v>0.46666284499123051</v>
      </c>
      <c r="H40" s="252"/>
      <c r="I40" s="252">
        <f>VLOOKUP(B40,'Daten-Materialien'!B2:AD238,29,FALSE)</f>
        <v>0</v>
      </c>
      <c r="J40" s="252"/>
      <c r="K40" s="252"/>
      <c r="L40" s="252"/>
      <c r="M40" s="252"/>
      <c r="N40" s="252"/>
      <c r="O40" s="252"/>
      <c r="P40" s="252"/>
      <c r="Q40" s="252"/>
      <c r="R40" s="252"/>
      <c r="S40" s="252"/>
      <c r="T40" s="252"/>
      <c r="U40" s="252"/>
      <c r="V40" s="252"/>
      <c r="W40" s="252"/>
      <c r="X40" s="252"/>
      <c r="Y40" s="252"/>
      <c r="Z40" s="252"/>
      <c r="AA40" s="252"/>
      <c r="AB40" s="252"/>
      <c r="AC40" s="252"/>
    </row>
    <row r="41" spans="1:29" x14ac:dyDescent="0.2">
      <c r="A41" s="374"/>
      <c r="B41" s="374"/>
      <c r="C41" s="374"/>
      <c r="D41" s="374"/>
      <c r="E41" s="374"/>
      <c r="F41" s="374"/>
      <c r="G41" s="374"/>
      <c r="H41" s="252"/>
      <c r="I41" s="252"/>
      <c r="J41" s="252"/>
      <c r="K41" s="252"/>
      <c r="L41" s="252"/>
      <c r="M41" s="252"/>
      <c r="N41" s="252"/>
      <c r="O41" s="252"/>
      <c r="P41" s="252"/>
      <c r="Q41" s="252"/>
      <c r="R41" s="252"/>
      <c r="S41" s="252"/>
      <c r="T41" s="252"/>
      <c r="U41" s="252"/>
      <c r="V41" s="252"/>
      <c r="W41" s="252"/>
      <c r="X41" s="252"/>
      <c r="Y41" s="252"/>
      <c r="Z41" s="252"/>
      <c r="AA41" s="252"/>
      <c r="AB41" s="252"/>
      <c r="AC41" s="252"/>
    </row>
    <row r="42" spans="1:29" x14ac:dyDescent="0.2">
      <c r="A42" s="374"/>
      <c r="B42" s="648" t="s">
        <v>973</v>
      </c>
      <c r="C42" s="648"/>
      <c r="D42" s="648"/>
      <c r="E42" s="648"/>
      <c r="F42" s="648"/>
      <c r="G42" s="648"/>
      <c r="H42" s="252"/>
      <c r="I42" s="252"/>
      <c r="J42" s="252"/>
      <c r="K42" s="252"/>
      <c r="L42" s="252"/>
      <c r="M42" s="252"/>
      <c r="N42" s="252"/>
      <c r="O42" s="252"/>
      <c r="P42" s="252"/>
      <c r="Q42" s="252"/>
      <c r="R42" s="252"/>
      <c r="S42" s="252"/>
      <c r="T42" s="252"/>
      <c r="U42" s="252"/>
      <c r="V42" s="252"/>
      <c r="W42" s="252"/>
      <c r="X42" s="252"/>
      <c r="Y42" s="252"/>
      <c r="Z42" s="252"/>
      <c r="AA42" s="252"/>
      <c r="AB42" s="252"/>
      <c r="AC42" s="252"/>
    </row>
    <row r="43" spans="1:29" x14ac:dyDescent="0.2">
      <c r="A43" s="374"/>
      <c r="B43" s="648"/>
      <c r="C43" s="648"/>
      <c r="D43" s="648"/>
      <c r="E43" s="648"/>
      <c r="F43" s="648"/>
      <c r="G43" s="648"/>
      <c r="H43" s="252"/>
      <c r="I43" s="252"/>
      <c r="J43" s="682" t="s">
        <v>965</v>
      </c>
      <c r="K43" s="682"/>
      <c r="L43" s="682"/>
      <c r="M43" s="682"/>
      <c r="N43" s="252"/>
      <c r="O43" s="682" t="s">
        <v>969</v>
      </c>
      <c r="P43" s="682"/>
      <c r="Q43" s="682"/>
      <c r="R43" s="682"/>
      <c r="S43" s="252"/>
      <c r="T43" s="682" t="s">
        <v>967</v>
      </c>
      <c r="U43" s="682"/>
      <c r="V43" s="682"/>
      <c r="W43" s="682"/>
      <c r="X43" s="252"/>
      <c r="Y43" s="682" t="s">
        <v>970</v>
      </c>
      <c r="Z43" s="682"/>
      <c r="AA43" s="682"/>
      <c r="AB43" s="682"/>
      <c r="AC43" s="252"/>
    </row>
    <row r="44" spans="1:29" x14ac:dyDescent="0.2">
      <c r="A44" s="374"/>
      <c r="B44" s="374"/>
      <c r="C44" s="374"/>
      <c r="D44" s="374"/>
      <c r="E44" s="374"/>
      <c r="F44" s="374"/>
      <c r="G44" s="374"/>
      <c r="H44" s="252"/>
      <c r="I44" s="252"/>
      <c r="J44" s="252"/>
      <c r="K44" s="252" t="str">
        <f>B38</f>
        <v>ZnO-Nanopartikel</v>
      </c>
      <c r="L44" s="252" t="str">
        <f>B39</f>
        <v>Versilbert</v>
      </c>
      <c r="M44" s="252" t="str">
        <f>B40</f>
        <v>Ceramic Smooth Hydrophobic-1</v>
      </c>
      <c r="N44" s="252"/>
      <c r="O44" s="252"/>
      <c r="P44" s="252" t="str">
        <f>B38</f>
        <v>ZnO-Nanopartikel</v>
      </c>
      <c r="Q44" s="252" t="str">
        <f>B39</f>
        <v>Versilbert</v>
      </c>
      <c r="R44" s="252" t="str">
        <f>B40</f>
        <v>Ceramic Smooth Hydrophobic-1</v>
      </c>
      <c r="S44" s="252"/>
      <c r="T44" s="252"/>
      <c r="U44" s="252" t="str">
        <f>B38</f>
        <v>ZnO-Nanopartikel</v>
      </c>
      <c r="V44" s="252" t="str">
        <f>B39</f>
        <v>Versilbert</v>
      </c>
      <c r="W44" s="252" t="str">
        <f>B40</f>
        <v>Ceramic Smooth Hydrophobic-1</v>
      </c>
      <c r="X44" s="252"/>
      <c r="Y44" s="252"/>
      <c r="Z44" s="252" t="str">
        <f>B38</f>
        <v>ZnO-Nanopartikel</v>
      </c>
      <c r="AA44" s="252" t="str">
        <f>B39</f>
        <v>Versilbert</v>
      </c>
      <c r="AB44" s="252" t="str">
        <f>B40</f>
        <v>Ceramic Smooth Hydrophobic-1</v>
      </c>
      <c r="AC44" s="252"/>
    </row>
    <row r="45" spans="1:29" x14ac:dyDescent="0.2">
      <c r="A45" s="374"/>
      <c r="B45" s="685" t="s">
        <v>974</v>
      </c>
      <c r="C45" s="685"/>
      <c r="D45" s="685"/>
      <c r="E45" s="685"/>
      <c r="F45" s="685"/>
      <c r="G45" s="685"/>
      <c r="H45" s="252"/>
      <c r="I45" s="252"/>
      <c r="J45" s="252"/>
      <c r="K45" s="252" t="s">
        <v>961</v>
      </c>
      <c r="L45" s="252" t="s">
        <v>962</v>
      </c>
      <c r="M45" s="252" t="s">
        <v>963</v>
      </c>
      <c r="N45" s="252"/>
      <c r="O45" s="252"/>
      <c r="P45" s="252" t="s">
        <v>961</v>
      </c>
      <c r="Q45" s="252" t="s">
        <v>962</v>
      </c>
      <c r="R45" s="252" t="s">
        <v>963</v>
      </c>
      <c r="S45" s="252"/>
      <c r="T45" s="252"/>
      <c r="U45" s="252" t="s">
        <v>961</v>
      </c>
      <c r="V45" s="252" t="s">
        <v>962</v>
      </c>
      <c r="W45" s="252" t="s">
        <v>963</v>
      </c>
      <c r="X45" s="252"/>
      <c r="Y45" s="252"/>
      <c r="Z45" s="252" t="s">
        <v>961</v>
      </c>
      <c r="AA45" s="252" t="s">
        <v>962</v>
      </c>
      <c r="AB45" s="252" t="s">
        <v>963</v>
      </c>
      <c r="AC45" s="252"/>
    </row>
    <row r="46" spans="1:29" x14ac:dyDescent="0.2">
      <c r="A46" s="374"/>
      <c r="B46" s="685"/>
      <c r="C46" s="685"/>
      <c r="D46" s="685"/>
      <c r="E46" s="685"/>
      <c r="F46" s="685"/>
      <c r="G46" s="685"/>
      <c r="H46" s="252"/>
      <c r="I46" s="252"/>
      <c r="J46" s="252" t="s">
        <v>500</v>
      </c>
      <c r="K46" s="382">
        <f>MAX('Berechnung-WÜ-Material'!C107:E107)</f>
        <v>-2.1299758771163191E-2</v>
      </c>
      <c r="L46" s="382">
        <f>MAX('Berechnung-WÜ-Material'!K107:M107)</f>
        <v>-5.9182635569859365E-3</v>
      </c>
      <c r="M46" s="382">
        <f>MAX('Berechnung-WÜ-Material'!S107:U107)</f>
        <v>-8.1353139283442399E-3</v>
      </c>
      <c r="N46" s="252"/>
      <c r="O46" s="252" t="s">
        <v>500</v>
      </c>
      <c r="P46" s="382">
        <f>'Berechnung-WÜ-Material'!C107</f>
        <v>-2.1299758771163191E-2</v>
      </c>
      <c r="Q46" s="382">
        <f>'Berechnung-WÜ-Material'!K107</f>
        <v>-5.9182635569859365E-3</v>
      </c>
      <c r="R46" s="382">
        <f>'Berechnung-WÜ-Material'!S107</f>
        <v>-8.1353139283442399E-3</v>
      </c>
      <c r="S46" s="252"/>
      <c r="T46" s="252" t="s">
        <v>500</v>
      </c>
      <c r="U46" s="382">
        <f>'Berechnung-WÜ-Material'!D107</f>
        <v>-4.9764090994068422E-2</v>
      </c>
      <c r="V46" s="382">
        <f>'Berechnung-WÜ-Material'!L107</f>
        <v>-1.3827246089540668E-2</v>
      </c>
      <c r="W46" s="382">
        <f>'Berechnung-WÜ-Material'!T107</f>
        <v>-1.9007093317110146E-2</v>
      </c>
      <c r="X46" s="252"/>
      <c r="Y46" s="252" t="s">
        <v>500</v>
      </c>
      <c r="Z46" s="382">
        <f>'Berechnung-WÜ-Material'!E107</f>
        <v>-6.6114930747519063E-2</v>
      </c>
      <c r="AA46" s="382">
        <f>'Berechnung-WÜ-Material'!M107</f>
        <v>-1.8370423318851636E-2</v>
      </c>
      <c r="AB46" s="382">
        <f>'Berechnung-WÜ-Material'!U107</f>
        <v>-2.5252197584040181E-2</v>
      </c>
      <c r="AC46" s="252"/>
    </row>
    <row r="47" spans="1:29" x14ac:dyDescent="0.2">
      <c r="A47" s="374"/>
      <c r="B47" s="685"/>
      <c r="C47" s="685"/>
      <c r="D47" s="685"/>
      <c r="E47" s="685"/>
      <c r="F47" s="685"/>
      <c r="G47" s="685"/>
      <c r="H47" s="252"/>
      <c r="I47" s="252"/>
      <c r="J47" s="252" t="s">
        <v>587</v>
      </c>
      <c r="K47" s="382">
        <f>MAX('Berechnung-WÜ-Material'!C108:E108)</f>
        <v>-6.4268966583896747E-2</v>
      </c>
      <c r="L47" s="382">
        <f>MAX('Berechnung-WÜ-Material'!K108:M108)</f>
        <v>-6.9942552385903689E-2</v>
      </c>
      <c r="M47" s="382">
        <f>MAX('Berechnung-WÜ-Material'!S108:U108)</f>
        <v>-0.10589094688805781</v>
      </c>
      <c r="N47" s="252"/>
      <c r="O47" s="252" t="s">
        <v>587</v>
      </c>
      <c r="P47" s="382">
        <f>'Berechnung-WÜ-Material'!C108</f>
        <v>-6.4268966583896747E-2</v>
      </c>
      <c r="Q47" s="382">
        <f>'Berechnung-WÜ-Material'!K108</f>
        <v>-6.9942552385903689E-2</v>
      </c>
      <c r="R47" s="382">
        <f>'Berechnung-WÜ-Material'!S108</f>
        <v>-0.10589094688805781</v>
      </c>
      <c r="S47" s="252"/>
      <c r="T47" s="252" t="s">
        <v>587</v>
      </c>
      <c r="U47" s="382">
        <f>'Berechnung-WÜ-Material'!D108</f>
        <v>-0.15015600578095734</v>
      </c>
      <c r="V47" s="382">
        <f>'Berechnung-WÜ-Material'!L108</f>
        <v>-0.16341159440743402</v>
      </c>
      <c r="W47" s="382">
        <f>'Berechnung-WÜ-Material'!T108</f>
        <v>-0.24740030030385152</v>
      </c>
      <c r="X47" s="252"/>
      <c r="Y47" s="252" t="s">
        <v>587</v>
      </c>
      <c r="Z47" s="382">
        <f>'Berechnung-WÜ-Material'!E108</f>
        <v>-0.19949231916474391</v>
      </c>
      <c r="AA47" s="382">
        <f>'Berechnung-WÜ-Material'!M108</f>
        <v>-0.21710325722370638</v>
      </c>
      <c r="AB47" s="382">
        <f>'Berechnung-WÜ-Material'!U108</f>
        <v>-0.32868788306520424</v>
      </c>
      <c r="AC47" s="252"/>
    </row>
    <row r="48" spans="1:29" x14ac:dyDescent="0.2">
      <c r="A48" s="374"/>
      <c r="B48" s="685"/>
      <c r="C48" s="685"/>
      <c r="D48" s="685"/>
      <c r="E48" s="685"/>
      <c r="F48" s="685"/>
      <c r="G48" s="685"/>
      <c r="H48" s="252"/>
      <c r="I48" s="252"/>
      <c r="J48" s="252" t="s">
        <v>588</v>
      </c>
      <c r="K48" s="382">
        <f>AVERAGE('Berechnung-WÜ-Material'!C109:E109)</f>
        <v>-0.21467866299698338</v>
      </c>
      <c r="L48" s="382">
        <f>AVERAGE('Berechnung-WÜ-Material'!K109:M109)</f>
        <v>-0.28923664348636607</v>
      </c>
      <c r="M48" s="382">
        <f>AVERAGE('Berechnung-WÜ-Material'!S109:U109)</f>
        <v>-0.34361253784606438</v>
      </c>
      <c r="N48" s="252"/>
      <c r="O48" s="252" t="s">
        <v>588</v>
      </c>
      <c r="P48" s="382">
        <f>'Berechnung-WÜ-Material'!C109</f>
        <v>-9.9999512710201618E-2</v>
      </c>
      <c r="Q48" s="382">
        <f>'Berechnung-WÜ-Material'!K109</f>
        <v>-0.13472938112614083</v>
      </c>
      <c r="R48" s="382">
        <f>'Berechnung-WÜ-Material'!S109</f>
        <v>-0.16005822779977436</v>
      </c>
      <c r="S48" s="252"/>
      <c r="T48" s="252" t="s">
        <v>588</v>
      </c>
      <c r="U48" s="382">
        <f>'Berechnung-WÜ-Material'!D109</f>
        <v>-0.23363573753756678</v>
      </c>
      <c r="V48" s="382">
        <f>'Berechnung-WÜ-Material'!L109</f>
        <v>-0.31477751715258712</v>
      </c>
      <c r="W48" s="382">
        <f>'Berechnung-WÜ-Material'!T109</f>
        <v>-0.37395504325433782</v>
      </c>
      <c r="X48" s="252"/>
      <c r="Y48" s="252" t="s">
        <v>588</v>
      </c>
      <c r="Z48" s="382">
        <f>'Berechnung-WÜ-Material'!E109</f>
        <v>-0.31040073874318169</v>
      </c>
      <c r="AA48" s="382">
        <f>'Berechnung-WÜ-Material'!M109</f>
        <v>-0.4182030321803703</v>
      </c>
      <c r="AB48" s="382">
        <f>'Berechnung-WÜ-Material'!U109</f>
        <v>-0.49682434248408097</v>
      </c>
      <c r="AC48" s="252"/>
    </row>
    <row r="49" spans="1:29" x14ac:dyDescent="0.2">
      <c r="A49" s="374"/>
      <c r="B49" s="685"/>
      <c r="C49" s="685"/>
      <c r="D49" s="685"/>
      <c r="E49" s="685"/>
      <c r="F49" s="685"/>
      <c r="G49" s="685"/>
      <c r="H49" s="252"/>
      <c r="I49" s="252"/>
      <c r="J49" s="252" t="s">
        <v>589</v>
      </c>
      <c r="K49" s="382">
        <f>MIN('Berechnung-WÜ-Material'!C110:E110)</f>
        <v>-0.40600408962317891</v>
      </c>
      <c r="L49" s="382">
        <f>MIN('Berechnung-WÜ-Material'!K110:M110)</f>
        <v>-0.57941163795401862</v>
      </c>
      <c r="M49" s="382">
        <f>MIN('Berechnung-WÜ-Material'!S110:U110)</f>
        <v>-0.65001278692957032</v>
      </c>
      <c r="N49" s="252"/>
      <c r="O49" s="252" t="s">
        <v>589</v>
      </c>
      <c r="P49" s="382">
        <f>'Berechnung-WÜ-Material'!C110</f>
        <v>-0.13079933793024434</v>
      </c>
      <c r="Q49" s="382">
        <f>'Berechnung-WÜ-Material'!K110</f>
        <v>-0.18666476661307352</v>
      </c>
      <c r="R49" s="382">
        <f>'Berechnung-WÜ-Material'!S110</f>
        <v>-0.20940981716585869</v>
      </c>
      <c r="S49" s="252"/>
      <c r="T49" s="252" t="s">
        <v>589</v>
      </c>
      <c r="U49" s="382">
        <f>'Berechnung-WÜ-Material'!D110</f>
        <v>-0.30559548700321326</v>
      </c>
      <c r="V49" s="382">
        <f>'Berechnung-WÜ-Material'!L110</f>
        <v>-0.43611772935643611</v>
      </c>
      <c r="W49" s="382">
        <f>'Berechnung-WÜ-Material'!T110</f>
        <v>-0.48925855491854991</v>
      </c>
      <c r="X49" s="252"/>
      <c r="Y49" s="252" t="s">
        <v>589</v>
      </c>
      <c r="Z49" s="382">
        <f>'Berechnung-WÜ-Material'!E110</f>
        <v>-0.40600408962317891</v>
      </c>
      <c r="AA49" s="382">
        <f>'Berechnung-WÜ-Material'!M110</f>
        <v>-0.57941163795401862</v>
      </c>
      <c r="AB49" s="382">
        <f>'Berechnung-WÜ-Material'!U110</f>
        <v>-0.65001278692957032</v>
      </c>
      <c r="AC49" s="252"/>
    </row>
    <row r="50" spans="1:29" x14ac:dyDescent="0.2">
      <c r="A50" s="374"/>
      <c r="B50" s="374"/>
      <c r="C50" s="374"/>
      <c r="D50" s="374"/>
      <c r="E50" s="374"/>
      <c r="F50" s="374"/>
      <c r="G50" s="374"/>
      <c r="H50" s="252"/>
      <c r="I50" s="252"/>
      <c r="J50" s="252" t="s">
        <v>501</v>
      </c>
      <c r="K50" s="382">
        <f>MIN('Berechnung-WÜ-Material'!C111:E111)</f>
        <v>-0.55515857073990915</v>
      </c>
      <c r="L50" s="382">
        <f>MIN('Berechnung-WÜ-Material'!K111:M111)</f>
        <v>-0.93050597315224093</v>
      </c>
      <c r="M50" s="382">
        <f>MIN('Berechnung-WÜ-Material'!S111:U111)</f>
        <v>-0.98475308059527433</v>
      </c>
      <c r="N50" s="252"/>
      <c r="O50" s="252" t="s">
        <v>501</v>
      </c>
      <c r="P50" s="382">
        <f>'Berechnung-WÜ-Material'!C111</f>
        <v>-0.17885133513427368</v>
      </c>
      <c r="Q50" s="382">
        <f>'Berechnung-WÜ-Material'!K111</f>
        <v>-0.29977423464234582</v>
      </c>
      <c r="R50" s="382">
        <f>'Berechnung-WÜ-Material'!S111</f>
        <v>-0.31725062446089441</v>
      </c>
      <c r="S50" s="252"/>
      <c r="T50" s="252" t="s">
        <v>501</v>
      </c>
      <c r="U50" s="382">
        <f>'Berechnung-WÜ-Material'!D111</f>
        <v>-0.4178626721389182</v>
      </c>
      <c r="V50" s="382">
        <f>'Berechnung-WÜ-Material'!L111</f>
        <v>-0.70038315694991415</v>
      </c>
      <c r="W50" s="382">
        <f>'Berechnung-WÜ-Material'!T111</f>
        <v>-0.74121444816413695</v>
      </c>
      <c r="X50" s="252"/>
      <c r="Y50" s="252" t="s">
        <v>501</v>
      </c>
      <c r="Z50" s="382">
        <f>'Berechnung-WÜ-Material'!E111</f>
        <v>-0.55515857073990915</v>
      </c>
      <c r="AA50" s="382">
        <f>'Berechnung-WÜ-Material'!M111</f>
        <v>-0.93050597315224093</v>
      </c>
      <c r="AB50" s="382">
        <f>'Berechnung-WÜ-Material'!U111</f>
        <v>-0.98475308059527433</v>
      </c>
      <c r="AC50" s="252"/>
    </row>
    <row r="51" spans="1:29" x14ac:dyDescent="0.2">
      <c r="A51" s="374"/>
      <c r="B51" s="650" t="s">
        <v>972</v>
      </c>
      <c r="C51" s="650"/>
      <c r="D51" s="669" t="s">
        <v>967</v>
      </c>
      <c r="E51" s="669"/>
      <c r="F51" s="669"/>
      <c r="G51" s="669"/>
      <c r="H51" s="252"/>
      <c r="I51" s="320"/>
      <c r="J51" s="320"/>
      <c r="K51" s="320"/>
      <c r="L51" s="320"/>
      <c r="M51" s="320"/>
      <c r="N51" s="320"/>
      <c r="O51" s="320"/>
      <c r="P51" s="320"/>
      <c r="Q51" s="320"/>
      <c r="R51" s="320"/>
      <c r="S51" s="320"/>
      <c r="T51" s="320"/>
      <c r="U51" s="320"/>
      <c r="V51" s="320"/>
      <c r="W51" s="320"/>
      <c r="X51" s="320"/>
      <c r="Y51" s="320"/>
      <c r="Z51" s="320"/>
      <c r="AA51" s="320"/>
      <c r="AB51" s="320"/>
      <c r="AC51" s="320"/>
    </row>
    <row r="52" spans="1:29" x14ac:dyDescent="0.2">
      <c r="A52" s="374"/>
      <c r="B52" s="374"/>
      <c r="C52" s="374"/>
      <c r="D52" s="374"/>
      <c r="E52" s="374"/>
      <c r="F52" s="374"/>
      <c r="G52" s="374"/>
      <c r="H52" s="252"/>
      <c r="I52" s="252"/>
      <c r="J52" s="682" t="s">
        <v>964</v>
      </c>
      <c r="K52" s="682"/>
      <c r="L52" s="682"/>
      <c r="M52" s="682"/>
      <c r="N52" s="252"/>
      <c r="O52" s="682" t="s">
        <v>964</v>
      </c>
      <c r="P52" s="682"/>
      <c r="Q52" s="682"/>
      <c r="R52" s="682"/>
      <c r="S52" s="252"/>
      <c r="T52" s="682" t="s">
        <v>964</v>
      </c>
      <c r="U52" s="682"/>
      <c r="V52" s="682"/>
      <c r="W52" s="682"/>
      <c r="X52" s="252"/>
      <c r="Y52" s="682" t="s">
        <v>964</v>
      </c>
      <c r="Z52" s="682"/>
      <c r="AA52" s="682"/>
      <c r="AB52" s="682"/>
    </row>
    <row r="53" spans="1:29" x14ac:dyDescent="0.2">
      <c r="A53" s="374"/>
      <c r="B53" s="159"/>
      <c r="C53" s="176"/>
      <c r="D53" s="176"/>
      <c r="E53" s="176"/>
      <c r="F53" s="176"/>
      <c r="G53" s="176"/>
      <c r="H53" s="176"/>
      <c r="I53" s="376"/>
      <c r="J53" s="252" t="s">
        <v>500</v>
      </c>
      <c r="K53" s="382">
        <f>K46</f>
        <v>-2.1299758771163191E-2</v>
      </c>
      <c r="L53" s="382">
        <f t="shared" ref="L53:M53" si="8">L46</f>
        <v>-5.9182635569859365E-3</v>
      </c>
      <c r="M53" s="382">
        <f t="shared" si="8"/>
        <v>-8.1353139283442399E-3</v>
      </c>
      <c r="N53" s="252"/>
      <c r="O53" s="252" t="s">
        <v>500</v>
      </c>
      <c r="P53" s="382">
        <f>P46</f>
        <v>-2.1299758771163191E-2</v>
      </c>
      <c r="Q53" s="382">
        <f t="shared" ref="Q53:R53" si="9">Q46</f>
        <v>-5.9182635569859365E-3</v>
      </c>
      <c r="R53" s="382">
        <f t="shared" si="9"/>
        <v>-8.1353139283442399E-3</v>
      </c>
      <c r="S53" s="252"/>
      <c r="T53" s="252" t="s">
        <v>500</v>
      </c>
      <c r="U53" s="382">
        <f>U46</f>
        <v>-4.9764090994068422E-2</v>
      </c>
      <c r="V53" s="382">
        <f t="shared" ref="V53:W53" si="10">V46</f>
        <v>-1.3827246089540668E-2</v>
      </c>
      <c r="W53" s="382">
        <f t="shared" si="10"/>
        <v>-1.9007093317110146E-2</v>
      </c>
      <c r="X53" s="252"/>
      <c r="Y53" s="252" t="s">
        <v>500</v>
      </c>
      <c r="Z53" s="382">
        <f>Z46</f>
        <v>-6.6114930747519063E-2</v>
      </c>
      <c r="AA53" s="382">
        <f t="shared" ref="AA53:AB53" si="11">AA46</f>
        <v>-1.8370423318851636E-2</v>
      </c>
      <c r="AB53" s="382">
        <f t="shared" si="11"/>
        <v>-2.5252197584040181E-2</v>
      </c>
    </row>
    <row r="54" spans="1:29" x14ac:dyDescent="0.2">
      <c r="A54" s="374"/>
      <c r="B54" s="162"/>
      <c r="C54" s="132"/>
      <c r="D54" s="132"/>
      <c r="E54" s="132"/>
      <c r="F54" s="132"/>
      <c r="G54" s="132"/>
      <c r="H54" s="132"/>
      <c r="I54" s="377"/>
      <c r="J54" s="252" t="s">
        <v>587</v>
      </c>
      <c r="K54" s="382">
        <f>K47-K46</f>
        <v>-4.2969207812733556E-2</v>
      </c>
      <c r="L54" s="382">
        <f t="shared" ref="L54:M54" si="12">L47-L46</f>
        <v>-6.4024288828917753E-2</v>
      </c>
      <c r="M54" s="382">
        <f t="shared" si="12"/>
        <v>-9.7755632959713568E-2</v>
      </c>
      <c r="N54" s="252"/>
      <c r="O54" s="252" t="s">
        <v>587</v>
      </c>
      <c r="P54" s="382">
        <f>P47-P46</f>
        <v>-4.2969207812733556E-2</v>
      </c>
      <c r="Q54" s="382">
        <f t="shared" ref="Q54:R54" si="13">Q47-Q46</f>
        <v>-6.4024288828917753E-2</v>
      </c>
      <c r="R54" s="382">
        <f t="shared" si="13"/>
        <v>-9.7755632959713568E-2</v>
      </c>
      <c r="S54" s="252"/>
      <c r="T54" s="252" t="s">
        <v>587</v>
      </c>
      <c r="U54" s="382">
        <f>U47-U46</f>
        <v>-0.10039191478688891</v>
      </c>
      <c r="V54" s="382">
        <f t="shared" ref="V54:W54" si="14">V47-V46</f>
        <v>-0.14958434831789336</v>
      </c>
      <c r="W54" s="382">
        <f t="shared" si="14"/>
        <v>-0.22839320698674137</v>
      </c>
      <c r="X54" s="252"/>
      <c r="Y54" s="252" t="s">
        <v>587</v>
      </c>
      <c r="Z54" s="382">
        <f>Z47-Z46</f>
        <v>-0.13337738841722485</v>
      </c>
      <c r="AA54" s="382">
        <f t="shared" ref="AA54:AB54" si="15">AA47-AA46</f>
        <v>-0.19873283390485474</v>
      </c>
      <c r="AB54" s="382">
        <f t="shared" si="15"/>
        <v>-0.30343568548116406</v>
      </c>
    </row>
    <row r="55" spans="1:29" x14ac:dyDescent="0.2">
      <c r="A55" s="374"/>
      <c r="B55" s="162"/>
      <c r="C55" s="132"/>
      <c r="D55" s="132"/>
      <c r="E55" s="132"/>
      <c r="F55" s="132"/>
      <c r="G55" s="132"/>
      <c r="H55" s="132"/>
      <c r="I55" s="377"/>
      <c r="J55" s="252" t="s">
        <v>588</v>
      </c>
      <c r="K55" s="382">
        <f t="shared" ref="K55:M57" si="16">K48-K47</f>
        <v>-0.15040969641308663</v>
      </c>
      <c r="L55" s="382">
        <f t="shared" si="16"/>
        <v>-0.21929409110046238</v>
      </c>
      <c r="M55" s="382">
        <f t="shared" si="16"/>
        <v>-0.23772159095800657</v>
      </c>
      <c r="N55" s="252"/>
      <c r="O55" s="252" t="s">
        <v>588</v>
      </c>
      <c r="P55" s="382">
        <f t="shared" ref="P55:R55" si="17">P48-P47</f>
        <v>-3.5730546126304871E-2</v>
      </c>
      <c r="Q55" s="382">
        <f t="shared" si="17"/>
        <v>-6.478682874023714E-2</v>
      </c>
      <c r="R55" s="382">
        <f t="shared" si="17"/>
        <v>-5.4167280911716548E-2</v>
      </c>
      <c r="S55" s="252"/>
      <c r="T55" s="252" t="s">
        <v>588</v>
      </c>
      <c r="U55" s="382">
        <f t="shared" ref="U55:W55" si="18">U48-U47</f>
        <v>-8.3479731756609443E-2</v>
      </c>
      <c r="V55" s="382">
        <f t="shared" si="18"/>
        <v>-0.15136592274515309</v>
      </c>
      <c r="W55" s="382">
        <f t="shared" si="18"/>
        <v>-0.1265547429504863</v>
      </c>
      <c r="X55" s="252"/>
      <c r="Y55" s="252" t="s">
        <v>588</v>
      </c>
      <c r="Z55" s="382">
        <f t="shared" ref="Z55:AB55" si="19">Z48-Z47</f>
        <v>-0.11090841957843778</v>
      </c>
      <c r="AA55" s="382">
        <f t="shared" si="19"/>
        <v>-0.20109977495666392</v>
      </c>
      <c r="AB55" s="382">
        <f t="shared" si="19"/>
        <v>-0.16813645941887673</v>
      </c>
    </row>
    <row r="56" spans="1:29" x14ac:dyDescent="0.2">
      <c r="A56" s="374"/>
      <c r="B56" s="162"/>
      <c r="C56" s="132"/>
      <c r="D56" s="132"/>
      <c r="E56" s="132"/>
      <c r="F56" s="132"/>
      <c r="G56" s="132"/>
      <c r="H56" s="132"/>
      <c r="I56" s="377"/>
      <c r="J56" s="252" t="s">
        <v>589</v>
      </c>
      <c r="K56" s="382">
        <f t="shared" si="16"/>
        <v>-0.19132542662619553</v>
      </c>
      <c r="L56" s="382">
        <f t="shared" si="16"/>
        <v>-0.29017499446765255</v>
      </c>
      <c r="M56" s="382">
        <f t="shared" si="16"/>
        <v>-0.30640024908350594</v>
      </c>
      <c r="N56" s="252"/>
      <c r="O56" s="252" t="s">
        <v>589</v>
      </c>
      <c r="P56" s="382">
        <f t="shared" ref="P56:R56" si="20">P49-P48</f>
        <v>-3.0799825220042723E-2</v>
      </c>
      <c r="Q56" s="382">
        <f t="shared" si="20"/>
        <v>-5.1935385486932689E-2</v>
      </c>
      <c r="R56" s="382">
        <f t="shared" si="20"/>
        <v>-4.9351589366084331E-2</v>
      </c>
      <c r="S56" s="252"/>
      <c r="T56" s="252" t="s">
        <v>589</v>
      </c>
      <c r="U56" s="382">
        <f t="shared" ref="U56:W56" si="21">U49-U48</f>
        <v>-7.1959749465646483E-2</v>
      </c>
      <c r="V56" s="382">
        <f t="shared" si="21"/>
        <v>-0.121340212203849</v>
      </c>
      <c r="W56" s="382">
        <f t="shared" si="21"/>
        <v>-0.1153035116642121</v>
      </c>
      <c r="X56" s="252"/>
      <c r="Y56" s="252" t="s">
        <v>589</v>
      </c>
      <c r="Z56" s="382">
        <f t="shared" ref="Z56:AB56" si="22">Z49-Z48</f>
        <v>-9.5603350879997218E-2</v>
      </c>
      <c r="AA56" s="382">
        <f t="shared" si="22"/>
        <v>-0.16120860577364832</v>
      </c>
      <c r="AB56" s="382">
        <f t="shared" si="22"/>
        <v>-0.15318844444548935</v>
      </c>
    </row>
    <row r="57" spans="1:29" x14ac:dyDescent="0.2">
      <c r="A57" s="374"/>
      <c r="B57" s="162"/>
      <c r="C57" s="132"/>
      <c r="D57" s="132"/>
      <c r="E57" s="132"/>
      <c r="F57" s="132"/>
      <c r="G57" s="132"/>
      <c r="H57" s="132"/>
      <c r="I57" s="377"/>
      <c r="J57" s="252" t="s">
        <v>501</v>
      </c>
      <c r="K57" s="382">
        <f t="shared" si="16"/>
        <v>-0.14915448111673024</v>
      </c>
      <c r="L57" s="382">
        <f t="shared" si="16"/>
        <v>-0.35109433519822231</v>
      </c>
      <c r="M57" s="382">
        <f t="shared" si="16"/>
        <v>-0.33474029366570401</v>
      </c>
      <c r="N57" s="252"/>
      <c r="O57" s="252" t="s">
        <v>501</v>
      </c>
      <c r="P57" s="382">
        <f t="shared" ref="P57:R57" si="23">P50-P49</f>
        <v>-4.8051997204029334E-2</v>
      </c>
      <c r="Q57" s="382">
        <f t="shared" si="23"/>
        <v>-0.1131094680292723</v>
      </c>
      <c r="R57" s="382">
        <f t="shared" si="23"/>
        <v>-0.10784080729503573</v>
      </c>
      <c r="S57" s="252"/>
      <c r="T57" s="252" t="s">
        <v>501</v>
      </c>
      <c r="U57" s="382">
        <f t="shared" ref="U57:W57" si="24">U50-U49</f>
        <v>-0.11226718513570494</v>
      </c>
      <c r="V57" s="382">
        <f t="shared" si="24"/>
        <v>-0.26426542759347804</v>
      </c>
      <c r="W57" s="382">
        <f t="shared" si="24"/>
        <v>-0.25195589324558704</v>
      </c>
      <c r="X57" s="252"/>
      <c r="Y57" s="252" t="s">
        <v>501</v>
      </c>
      <c r="Z57" s="382">
        <f t="shared" ref="Z57:AB57" si="25">Z50-Z49</f>
        <v>-0.14915448111673024</v>
      </c>
      <c r="AA57" s="382">
        <f t="shared" si="25"/>
        <v>-0.35109433519822231</v>
      </c>
      <c r="AB57" s="382">
        <f t="shared" si="25"/>
        <v>-0.33474029366570401</v>
      </c>
    </row>
    <row r="58" spans="1:29" x14ac:dyDescent="0.2">
      <c r="A58" s="374"/>
      <c r="B58" s="162"/>
      <c r="C58" s="132"/>
      <c r="D58" s="132"/>
      <c r="E58" s="132"/>
      <c r="F58" s="132"/>
      <c r="G58" s="132"/>
      <c r="H58" s="132"/>
      <c r="I58" s="377"/>
      <c r="J58" s="379"/>
      <c r="K58" s="379"/>
      <c r="L58" s="379"/>
      <c r="M58" s="379"/>
      <c r="N58" s="379"/>
      <c r="O58" s="379"/>
      <c r="P58" s="379"/>
      <c r="Q58" s="379"/>
      <c r="R58" s="252"/>
      <c r="S58" s="252"/>
      <c r="T58" s="252"/>
      <c r="U58" s="252"/>
      <c r="V58" s="252"/>
      <c r="W58" s="252"/>
      <c r="X58" s="252"/>
      <c r="Y58" s="252"/>
      <c r="Z58" s="252"/>
      <c r="AA58" s="252"/>
      <c r="AB58" s="252"/>
    </row>
    <row r="59" spans="1:29" x14ac:dyDescent="0.2">
      <c r="A59" s="374"/>
      <c r="B59" s="162"/>
      <c r="C59" s="132"/>
      <c r="D59" s="132"/>
      <c r="E59" s="132"/>
      <c r="F59" s="132"/>
      <c r="G59" s="132"/>
      <c r="H59" s="132"/>
      <c r="I59" s="377"/>
      <c r="J59" s="379" t="s">
        <v>969</v>
      </c>
      <c r="K59" s="380">
        <f>'Ausgabe Standortbewertung'!$L$97</f>
        <v>-0.22302412249690876</v>
      </c>
      <c r="L59" s="380">
        <f>'Ausgabe Standortbewertung'!$L$97</f>
        <v>-0.22302412249690876</v>
      </c>
      <c r="M59" s="380">
        <f>'Ausgabe Standortbewertung'!$L$97</f>
        <v>-0.22302412249690876</v>
      </c>
      <c r="N59" s="379"/>
      <c r="O59" s="379" t="s">
        <v>969</v>
      </c>
      <c r="P59" s="380">
        <f>'Ausgabe Standortbewertung'!$L$97</f>
        <v>-0.22302412249690876</v>
      </c>
      <c r="Q59" s="380">
        <f>'Ausgabe Standortbewertung'!$L$97</f>
        <v>-0.22302412249690876</v>
      </c>
      <c r="R59" s="382">
        <f>'Ausgabe Standortbewertung'!$L$97</f>
        <v>-0.22302412249690876</v>
      </c>
      <c r="S59" s="252"/>
      <c r="T59" s="252"/>
      <c r="U59" s="382"/>
      <c r="V59" s="382"/>
      <c r="W59" s="382"/>
      <c r="X59" s="252"/>
      <c r="Y59" s="252"/>
      <c r="Z59" s="382"/>
      <c r="AA59" s="382"/>
      <c r="AB59" s="382"/>
    </row>
    <row r="60" spans="1:29" x14ac:dyDescent="0.2">
      <c r="A60" s="374"/>
      <c r="B60" s="162"/>
      <c r="C60" s="132"/>
      <c r="D60" s="132"/>
      <c r="E60" s="132"/>
      <c r="F60" s="132"/>
      <c r="G60" s="132"/>
      <c r="H60" s="132"/>
      <c r="I60" s="377"/>
      <c r="J60" s="379" t="s">
        <v>966</v>
      </c>
      <c r="K60" s="380">
        <f>'Ausgabe Standortbewertung'!$C$99</f>
        <v>-0.52106659258668764</v>
      </c>
      <c r="L60" s="380">
        <f>'Ausgabe Standortbewertung'!C99</f>
        <v>-0.52106659258668764</v>
      </c>
      <c r="M60" s="380">
        <f>'Ausgabe Standortbewertung'!C99</f>
        <v>-0.52106659258668764</v>
      </c>
      <c r="N60" s="379"/>
      <c r="O60" s="379"/>
      <c r="P60" s="380"/>
      <c r="Q60" s="380"/>
      <c r="R60" s="382"/>
      <c r="S60" s="252"/>
      <c r="T60" s="252" t="s">
        <v>966</v>
      </c>
      <c r="U60" s="382">
        <f>'Ausgabe Standortbewertung'!$C$99</f>
        <v>-0.52106659258668764</v>
      </c>
      <c r="V60" s="382">
        <f>'Ausgabe Standortbewertung'!$C$99</f>
        <v>-0.52106659258668764</v>
      </c>
      <c r="W60" s="382">
        <f>'Ausgabe Standortbewertung'!$C$99</f>
        <v>-0.52106659258668764</v>
      </c>
      <c r="X60" s="252"/>
      <c r="Y60" s="252"/>
      <c r="Z60" s="382"/>
      <c r="AA60" s="382"/>
      <c r="AB60" s="382"/>
    </row>
    <row r="61" spans="1:29" x14ac:dyDescent="0.2">
      <c r="A61" s="374"/>
      <c r="B61" s="162"/>
      <c r="C61" s="132"/>
      <c r="D61" s="132"/>
      <c r="E61" s="132"/>
      <c r="F61" s="132"/>
      <c r="G61" s="132"/>
      <c r="H61" s="132"/>
      <c r="I61" s="377"/>
      <c r="J61" s="379" t="s">
        <v>970</v>
      </c>
      <c r="K61" s="380">
        <f>'Ausgabe Standortbewertung'!$C$100</f>
        <v>-0.69227189717623527</v>
      </c>
      <c r="L61" s="380">
        <f>'Ausgabe Standortbewertung'!C100</f>
        <v>-0.69227189717623527</v>
      </c>
      <c r="M61" s="380">
        <f>'Ausgabe Standortbewertung'!C100</f>
        <v>-0.69227189717623527</v>
      </c>
      <c r="N61" s="379"/>
      <c r="O61" s="379"/>
      <c r="P61" s="380"/>
      <c r="Q61" s="380"/>
      <c r="R61" s="382"/>
      <c r="S61" s="252"/>
      <c r="T61" s="252"/>
      <c r="U61" s="382"/>
      <c r="V61" s="382"/>
      <c r="W61" s="382"/>
      <c r="X61" s="252"/>
      <c r="Y61" s="252" t="s">
        <v>970</v>
      </c>
      <c r="Z61" s="382">
        <f>'Ausgabe Standortbewertung'!$C$100</f>
        <v>-0.69227189717623527</v>
      </c>
      <c r="AA61" s="382">
        <f>'Ausgabe Standortbewertung'!$C$100</f>
        <v>-0.69227189717623527</v>
      </c>
      <c r="AB61" s="382">
        <f>'Ausgabe Standortbewertung'!$C$100</f>
        <v>-0.69227189717623527</v>
      </c>
    </row>
    <row r="62" spans="1:29" x14ac:dyDescent="0.2">
      <c r="A62" s="374"/>
      <c r="B62" s="162"/>
      <c r="C62" s="132"/>
      <c r="D62" s="132"/>
      <c r="E62" s="132"/>
      <c r="F62" s="132"/>
      <c r="G62" s="132"/>
      <c r="H62" s="132"/>
      <c r="I62" s="122"/>
      <c r="J62" s="379"/>
      <c r="K62" s="379"/>
      <c r="L62" s="379"/>
      <c r="M62" s="379"/>
      <c r="N62" s="379"/>
      <c r="O62" s="379"/>
      <c r="P62" s="379"/>
      <c r="Q62" s="379"/>
      <c r="R62" s="374"/>
      <c r="S62" s="374"/>
      <c r="T62" s="374"/>
      <c r="U62" s="374"/>
      <c r="V62" s="374"/>
      <c r="W62" s="374"/>
    </row>
    <row r="63" spans="1:29" x14ac:dyDescent="0.2">
      <c r="A63" s="374"/>
      <c r="B63" s="162"/>
      <c r="C63" s="132"/>
      <c r="D63" s="132"/>
      <c r="E63" s="132"/>
      <c r="F63" s="132"/>
      <c r="G63" s="132"/>
      <c r="H63" s="132"/>
      <c r="I63" s="122"/>
      <c r="J63" s="686" t="s">
        <v>971</v>
      </c>
      <c r="K63" s="686"/>
      <c r="L63" s="686"/>
      <c r="M63" s="686"/>
      <c r="N63" s="379"/>
      <c r="O63" s="379"/>
      <c r="P63" s="379"/>
      <c r="Q63" s="379"/>
      <c r="R63" s="374"/>
      <c r="S63" s="374"/>
      <c r="T63" s="374"/>
      <c r="U63" s="374"/>
      <c r="V63" s="374"/>
      <c r="W63" s="374"/>
    </row>
    <row r="64" spans="1:29" x14ac:dyDescent="0.2">
      <c r="A64" s="374"/>
      <c r="B64" s="162"/>
      <c r="C64" s="132"/>
      <c r="D64" s="132"/>
      <c r="E64" s="132"/>
      <c r="F64" s="132"/>
      <c r="G64" s="132"/>
      <c r="H64" s="132"/>
      <c r="I64" s="122"/>
      <c r="J64" s="379"/>
      <c r="K64" s="379" t="str">
        <f>B38</f>
        <v>ZnO-Nanopartikel</v>
      </c>
      <c r="L64" s="379" t="str">
        <f>B39</f>
        <v>Versilbert</v>
      </c>
      <c r="M64" s="379" t="str">
        <f>B40</f>
        <v>Ceramic Smooth Hydrophobic-1</v>
      </c>
      <c r="N64" s="379"/>
      <c r="O64" s="379"/>
      <c r="P64" s="379"/>
      <c r="Q64" s="379"/>
      <c r="R64" s="374"/>
      <c r="S64" s="374"/>
      <c r="T64" s="374"/>
      <c r="U64" s="374"/>
      <c r="V64" s="374"/>
      <c r="W64" s="374"/>
    </row>
    <row r="65" spans="1:28" x14ac:dyDescent="0.2">
      <c r="A65" s="374"/>
      <c r="B65" s="162"/>
      <c r="C65" s="132"/>
      <c r="D65" s="132"/>
      <c r="E65" s="132"/>
      <c r="F65" s="132"/>
      <c r="G65" s="132"/>
      <c r="H65" s="132"/>
      <c r="I65" s="122"/>
      <c r="J65" s="379"/>
      <c r="K65" s="379" t="s">
        <v>961</v>
      </c>
      <c r="L65" s="379" t="s">
        <v>962</v>
      </c>
      <c r="M65" s="379" t="s">
        <v>963</v>
      </c>
      <c r="N65" s="379"/>
      <c r="O65" s="379"/>
      <c r="P65" s="379"/>
      <c r="Q65" s="379"/>
      <c r="R65" s="374"/>
      <c r="S65" s="374"/>
      <c r="T65" s="374"/>
      <c r="U65" s="374"/>
      <c r="V65" s="374"/>
      <c r="W65" s="374"/>
    </row>
    <row r="66" spans="1:28" x14ac:dyDescent="0.2">
      <c r="A66" s="374"/>
      <c r="B66" s="162"/>
      <c r="C66" s="132"/>
      <c r="D66" s="132"/>
      <c r="E66" s="132"/>
      <c r="F66" s="132"/>
      <c r="G66" s="132"/>
      <c r="H66" s="132"/>
      <c r="I66" s="122"/>
      <c r="J66" s="379" t="s">
        <v>500</v>
      </c>
      <c r="K66" s="381">
        <f t="shared" ref="K66:M70" si="26">IF($D$51="Gemittelte Gesamtprognose",K46,IF($D$51="Obere Prognose (Optimiste Prognose)",P46,IF($D$51="Mittlere Prognose",U46,IF($D$51="Untere Prognose (Pessimistische Prognose)",Z46,""))))</f>
        <v>-4.9764090994068422E-2</v>
      </c>
      <c r="L66" s="381">
        <f t="shared" si="26"/>
        <v>-1.3827246089540668E-2</v>
      </c>
      <c r="M66" s="381">
        <f t="shared" si="26"/>
        <v>-1.9007093317110146E-2</v>
      </c>
      <c r="N66" s="379"/>
      <c r="O66" s="379"/>
      <c r="P66" s="379"/>
      <c r="Q66" s="379"/>
      <c r="R66" s="374"/>
      <c r="S66" s="374"/>
      <c r="T66" s="374"/>
      <c r="U66" s="374"/>
      <c r="V66" s="374"/>
      <c r="W66" s="374"/>
    </row>
    <row r="67" spans="1:28" x14ac:dyDescent="0.2">
      <c r="A67" s="374"/>
      <c r="B67" s="162"/>
      <c r="C67" s="132"/>
      <c r="D67" s="132"/>
      <c r="E67" s="132"/>
      <c r="F67" s="132"/>
      <c r="G67" s="132"/>
      <c r="H67" s="132"/>
      <c r="I67" s="122"/>
      <c r="J67" s="379" t="s">
        <v>587</v>
      </c>
      <c r="K67" s="381">
        <f t="shared" si="26"/>
        <v>-0.15015600578095734</v>
      </c>
      <c r="L67" s="381">
        <f t="shared" si="26"/>
        <v>-0.16341159440743402</v>
      </c>
      <c r="M67" s="381">
        <f t="shared" si="26"/>
        <v>-0.24740030030385152</v>
      </c>
      <c r="N67" s="379"/>
      <c r="O67" s="379"/>
      <c r="P67" s="379"/>
      <c r="Q67" s="379"/>
      <c r="R67" s="374"/>
      <c r="S67" s="374"/>
      <c r="T67" s="374"/>
      <c r="U67" s="374"/>
      <c r="V67" s="374"/>
      <c r="W67" s="374"/>
    </row>
    <row r="68" spans="1:28" x14ac:dyDescent="0.2">
      <c r="A68" s="374"/>
      <c r="B68" s="162"/>
      <c r="C68" s="132"/>
      <c r="D68" s="132"/>
      <c r="E68" s="132"/>
      <c r="F68" s="132"/>
      <c r="G68" s="132"/>
      <c r="H68" s="132"/>
      <c r="I68" s="122"/>
      <c r="J68" s="379" t="s">
        <v>588</v>
      </c>
      <c r="K68" s="381">
        <f t="shared" si="26"/>
        <v>-0.23363573753756678</v>
      </c>
      <c r="L68" s="381">
        <f t="shared" si="26"/>
        <v>-0.31477751715258712</v>
      </c>
      <c r="M68" s="381">
        <f t="shared" si="26"/>
        <v>-0.37395504325433782</v>
      </c>
      <c r="N68" s="379"/>
      <c r="O68" s="379"/>
      <c r="P68" s="379"/>
      <c r="Q68" s="379"/>
      <c r="R68" s="374"/>
      <c r="S68" s="374"/>
      <c r="T68" s="374"/>
      <c r="U68" s="374"/>
      <c r="V68" s="374"/>
      <c r="W68" s="374"/>
    </row>
    <row r="69" spans="1:28" x14ac:dyDescent="0.2">
      <c r="A69" s="374"/>
      <c r="B69" s="162"/>
      <c r="C69" s="132"/>
      <c r="D69" s="132"/>
      <c r="E69" s="132"/>
      <c r="F69" s="132"/>
      <c r="G69" s="132"/>
      <c r="H69" s="132"/>
      <c r="I69" s="122"/>
      <c r="J69" s="379" t="s">
        <v>589</v>
      </c>
      <c r="K69" s="381">
        <f t="shared" si="26"/>
        <v>-0.30559548700321326</v>
      </c>
      <c r="L69" s="381">
        <f t="shared" si="26"/>
        <v>-0.43611772935643611</v>
      </c>
      <c r="M69" s="381">
        <f t="shared" si="26"/>
        <v>-0.48925855491854991</v>
      </c>
      <c r="N69" s="379"/>
      <c r="O69" s="379"/>
      <c r="P69" s="379"/>
      <c r="Q69" s="379"/>
      <c r="R69" s="374"/>
      <c r="S69" s="374"/>
      <c r="T69" s="374"/>
      <c r="U69" s="374"/>
      <c r="V69" s="374"/>
      <c r="W69" s="374"/>
    </row>
    <row r="70" spans="1:28" x14ac:dyDescent="0.2">
      <c r="A70" s="374"/>
      <c r="B70" s="162"/>
      <c r="C70" s="132"/>
      <c r="D70" s="132"/>
      <c r="E70" s="132"/>
      <c r="F70" s="132"/>
      <c r="G70" s="132"/>
      <c r="H70" s="132"/>
      <c r="I70" s="122"/>
      <c r="J70" s="379" t="s">
        <v>501</v>
      </c>
      <c r="K70" s="381">
        <f t="shared" si="26"/>
        <v>-0.4178626721389182</v>
      </c>
      <c r="L70" s="381">
        <f t="shared" si="26"/>
        <v>-0.70038315694991415</v>
      </c>
      <c r="M70" s="381">
        <f t="shared" si="26"/>
        <v>-0.74121444816413695</v>
      </c>
      <c r="N70" s="379"/>
      <c r="O70" s="379"/>
      <c r="P70" s="379"/>
      <c r="Q70" s="379"/>
      <c r="R70" s="374"/>
      <c r="S70" s="374"/>
      <c r="T70" s="374"/>
      <c r="U70" s="374"/>
      <c r="V70" s="374"/>
      <c r="W70" s="374"/>
    </row>
    <row r="71" spans="1:28" x14ac:dyDescent="0.2">
      <c r="A71" s="374"/>
      <c r="B71" s="162"/>
      <c r="C71" s="132"/>
      <c r="D71" s="132"/>
      <c r="E71" s="132"/>
      <c r="F71" s="132"/>
      <c r="G71" s="132"/>
      <c r="H71" s="132"/>
      <c r="I71" s="122"/>
      <c r="J71" s="379"/>
      <c r="K71" s="379"/>
      <c r="L71" s="379"/>
      <c r="M71" s="379"/>
      <c r="N71" s="379"/>
      <c r="O71" s="379"/>
      <c r="P71" s="379"/>
      <c r="Q71" s="379"/>
      <c r="R71" s="374"/>
      <c r="S71" s="374"/>
      <c r="T71" s="374"/>
      <c r="U71" s="374"/>
      <c r="V71" s="374"/>
      <c r="W71" s="374"/>
    </row>
    <row r="72" spans="1:28" x14ac:dyDescent="0.2">
      <c r="A72" s="374"/>
      <c r="B72" s="366"/>
      <c r="C72" s="177"/>
      <c r="D72" s="177"/>
      <c r="E72" s="177"/>
      <c r="F72" s="177"/>
      <c r="G72" s="177"/>
      <c r="H72" s="177"/>
      <c r="I72" s="178"/>
      <c r="J72" s="686" t="s">
        <v>964</v>
      </c>
      <c r="K72" s="686"/>
      <c r="L72" s="686"/>
      <c r="M72" s="686"/>
      <c r="N72" s="379"/>
      <c r="O72" s="379"/>
      <c r="P72" s="379"/>
      <c r="Q72" s="379"/>
      <c r="R72" s="374"/>
      <c r="S72" s="374"/>
      <c r="T72" s="374"/>
      <c r="U72" s="374"/>
      <c r="V72" s="374"/>
      <c r="W72" s="374"/>
    </row>
    <row r="73" spans="1:28" x14ac:dyDescent="0.2">
      <c r="A73" s="374"/>
      <c r="B73" s="655" t="s">
        <v>997</v>
      </c>
      <c r="C73" s="655"/>
      <c r="D73" s="655"/>
      <c r="E73" s="655"/>
      <c r="F73" s="655"/>
      <c r="G73" s="655"/>
      <c r="H73" s="655"/>
      <c r="I73" s="655"/>
      <c r="J73" s="379" t="s">
        <v>500</v>
      </c>
      <c r="K73" s="380">
        <f>K66</f>
        <v>-4.9764090994068422E-2</v>
      </c>
      <c r="L73" s="380">
        <f t="shared" ref="L73:M73" si="27">L66</f>
        <v>-1.3827246089540668E-2</v>
      </c>
      <c r="M73" s="380">
        <f t="shared" si="27"/>
        <v>-1.9007093317110146E-2</v>
      </c>
      <c r="N73" s="379"/>
      <c r="O73" s="379"/>
      <c r="P73" s="379"/>
      <c r="Q73" s="379"/>
      <c r="R73" s="374"/>
      <c r="S73" s="374"/>
      <c r="T73" s="374"/>
      <c r="U73" s="374"/>
      <c r="V73" s="374"/>
      <c r="W73" s="374"/>
    </row>
    <row r="74" spans="1:28" x14ac:dyDescent="0.2">
      <c r="A74" s="374"/>
      <c r="B74" s="655"/>
      <c r="C74" s="655"/>
      <c r="D74" s="655"/>
      <c r="E74" s="655"/>
      <c r="F74" s="655"/>
      <c r="G74" s="655"/>
      <c r="H74" s="655"/>
      <c r="I74" s="655"/>
      <c r="J74" s="379" t="s">
        <v>587</v>
      </c>
      <c r="K74" s="380">
        <f>K67-K66</f>
        <v>-0.10039191478688891</v>
      </c>
      <c r="L74" s="380">
        <f t="shared" ref="L74:M74" si="28">L67-L66</f>
        <v>-0.14958434831789336</v>
      </c>
      <c r="M74" s="380">
        <f t="shared" si="28"/>
        <v>-0.22839320698674137</v>
      </c>
      <c r="N74" s="379"/>
      <c r="O74" s="379"/>
      <c r="P74" s="379"/>
      <c r="Q74" s="379"/>
      <c r="R74" s="374"/>
      <c r="S74" s="374"/>
      <c r="T74" s="374"/>
      <c r="U74" s="374"/>
      <c r="V74" s="374"/>
      <c r="W74" s="374"/>
    </row>
    <row r="75" spans="1:28" x14ac:dyDescent="0.2">
      <c r="A75" s="374"/>
      <c r="B75" s="374"/>
      <c r="C75" s="374"/>
      <c r="D75" s="374"/>
      <c r="E75" s="374"/>
      <c r="F75" s="374"/>
      <c r="G75" s="374"/>
      <c r="H75" s="374"/>
      <c r="I75" s="374"/>
      <c r="J75" s="379" t="s">
        <v>588</v>
      </c>
      <c r="K75" s="380">
        <f t="shared" ref="K75:M75" si="29">K68-K67</f>
        <v>-8.3479731756609443E-2</v>
      </c>
      <c r="L75" s="380">
        <f t="shared" si="29"/>
        <v>-0.15136592274515309</v>
      </c>
      <c r="M75" s="380">
        <f t="shared" si="29"/>
        <v>-0.1265547429504863</v>
      </c>
      <c r="N75" s="379"/>
      <c r="O75" s="379"/>
      <c r="P75" s="379"/>
      <c r="Q75" s="379"/>
      <c r="R75" s="374"/>
      <c r="S75" s="374"/>
      <c r="T75" s="374"/>
      <c r="U75" s="374"/>
      <c r="V75" s="374"/>
      <c r="W75" s="374"/>
    </row>
    <row r="76" spans="1:28" x14ac:dyDescent="0.2">
      <c r="A76" s="374"/>
      <c r="B76" s="648" t="s">
        <v>975</v>
      </c>
      <c r="C76" s="648"/>
      <c r="D76" s="648"/>
      <c r="E76" s="648"/>
      <c r="F76" s="648"/>
      <c r="G76" s="648"/>
      <c r="H76" s="374"/>
      <c r="I76" s="374"/>
      <c r="J76" s="379" t="s">
        <v>589</v>
      </c>
      <c r="K76" s="380">
        <f t="shared" ref="K76:M76" si="30">K69-K68</f>
        <v>-7.1959749465646483E-2</v>
      </c>
      <c r="L76" s="380">
        <f t="shared" si="30"/>
        <v>-0.121340212203849</v>
      </c>
      <c r="M76" s="380">
        <f t="shared" si="30"/>
        <v>-0.1153035116642121</v>
      </c>
      <c r="N76" s="379"/>
      <c r="O76" s="379"/>
      <c r="P76" s="379"/>
      <c r="Q76" s="379"/>
      <c r="R76" s="374"/>
      <c r="S76" s="374"/>
      <c r="T76" s="374"/>
      <c r="U76" s="374"/>
      <c r="V76" s="374"/>
      <c r="W76" s="374"/>
    </row>
    <row r="77" spans="1:28" x14ac:dyDescent="0.2">
      <c r="A77" s="374"/>
      <c r="B77" s="648"/>
      <c r="C77" s="648"/>
      <c r="D77" s="648"/>
      <c r="E77" s="648"/>
      <c r="F77" s="648"/>
      <c r="G77" s="648"/>
      <c r="H77" s="379"/>
      <c r="I77" s="379"/>
      <c r="J77" s="379" t="s">
        <v>501</v>
      </c>
      <c r="K77" s="380">
        <f t="shared" ref="K77:M77" si="31">K70-K69</f>
        <v>-0.11226718513570494</v>
      </c>
      <c r="L77" s="380">
        <f t="shared" si="31"/>
        <v>-0.26426542759347804</v>
      </c>
      <c r="M77" s="380">
        <f t="shared" si="31"/>
        <v>-0.25195589324558704</v>
      </c>
      <c r="N77" s="379"/>
      <c r="O77" s="379"/>
      <c r="P77" s="379"/>
      <c r="Q77" s="379"/>
      <c r="R77" s="379"/>
      <c r="S77" s="379"/>
      <c r="T77" s="379"/>
      <c r="U77" s="379"/>
      <c r="V77" s="379"/>
      <c r="W77" s="379"/>
      <c r="X77" s="379"/>
      <c r="Y77" s="379"/>
      <c r="Z77" s="379"/>
      <c r="AA77" s="379"/>
      <c r="AB77" s="379"/>
    </row>
    <row r="78" spans="1:28" x14ac:dyDescent="0.2">
      <c r="A78" s="374"/>
      <c r="B78" s="374"/>
      <c r="C78" s="374"/>
      <c r="D78" s="374"/>
      <c r="E78" s="374"/>
      <c r="F78" s="374"/>
      <c r="G78" s="374"/>
      <c r="H78" s="379"/>
      <c r="I78" s="379"/>
      <c r="J78" s="379"/>
      <c r="K78" s="379"/>
      <c r="L78" s="379"/>
      <c r="M78" s="379"/>
      <c r="N78" s="379"/>
      <c r="O78" s="379"/>
      <c r="P78" s="379"/>
      <c r="Q78" s="379"/>
      <c r="R78" s="379"/>
      <c r="S78" s="379"/>
      <c r="T78" s="379"/>
      <c r="U78" s="379"/>
      <c r="V78" s="379"/>
      <c r="W78" s="379"/>
      <c r="X78" s="379"/>
      <c r="Y78" s="379"/>
      <c r="Z78" s="379"/>
      <c r="AA78" s="379"/>
      <c r="AB78" s="379"/>
    </row>
    <row r="79" spans="1:28" x14ac:dyDescent="0.2">
      <c r="A79" s="374"/>
      <c r="B79" s="650" t="s">
        <v>972</v>
      </c>
      <c r="C79" s="650"/>
      <c r="D79" s="664" t="str">
        <f>D51</f>
        <v>Mittlere Prognose</v>
      </c>
      <c r="E79" s="665"/>
      <c r="F79" s="665"/>
      <c r="G79" s="666"/>
      <c r="H79" s="379"/>
      <c r="I79" s="379"/>
      <c r="J79" s="379" t="s">
        <v>969</v>
      </c>
      <c r="K79" s="381">
        <f>IF($D$51="Gemittelte Gesamtprognose",10,IF($D$51="Obere Prognose (Optimiste Prognose)",P59,IF($D$51="Mittlere Prognose",10,IF($D$51="Untere Prognose (Pessimistische Prognose)",10,""))))</f>
        <v>10</v>
      </c>
      <c r="L79" s="381">
        <f>IF($D$51="Gemittelte Gesamtprognose",10,IF($D$51="Obere Prognose (Optimiste Prognose)",Q59,IF($D$51="Mittlere Prognose",10,IF($D$51="Untere Prognose (Pessimistische Prognose)",10,""))))</f>
        <v>10</v>
      </c>
      <c r="M79" s="381">
        <f>IF($D$51="Gemittelte Gesamtprognose",10,IF($D$51="Obere Prognose (Optimiste Prognose)",R59,IF($D$51="Mittlere Prognose",10,IF($D$51="Untere Prognose (Pessimistische Prognose)",10,""))))</f>
        <v>10</v>
      </c>
      <c r="N79" s="379"/>
      <c r="O79" s="379"/>
      <c r="P79" s="379"/>
      <c r="Q79" s="379"/>
      <c r="R79" s="379"/>
      <c r="S79" s="379"/>
      <c r="T79" s="379"/>
      <c r="U79" s="379"/>
      <c r="V79" s="379"/>
      <c r="W79" s="379"/>
      <c r="X79" s="379"/>
      <c r="Y79" s="379"/>
      <c r="Z79" s="379"/>
      <c r="AA79" s="379"/>
      <c r="AB79" s="379"/>
    </row>
    <row r="80" spans="1:28" x14ac:dyDescent="0.2">
      <c r="A80" s="374"/>
      <c r="B80" s="374"/>
      <c r="C80" s="374"/>
      <c r="D80" s="374"/>
      <c r="E80" s="374"/>
      <c r="F80" s="374"/>
      <c r="G80" s="374"/>
      <c r="H80" s="379"/>
      <c r="I80" s="379"/>
      <c r="J80" s="379" t="s">
        <v>966</v>
      </c>
      <c r="K80" s="380">
        <f>IF($D$51="Gemittelte Gesamtprognose",10,IF($D$51="Obere Prognose (Optimiste Prognose)",10,IF($D$51="Mittlere Prognose",U60,IF($D$51="Untere Prognose (Pessimistische Prognose)",10,""))))</f>
        <v>-0.52106659258668764</v>
      </c>
      <c r="L80" s="380">
        <f>IF($D$51="Gemittelte Gesamtprognose",10,IF($D$51="Obere Prognose (Optimiste Prognose)",10,IF($D$51="Mittlere Prognose",V60,IF($D$51="Untere Prognose (Pessimistische Prognose)",10,""))))</f>
        <v>-0.52106659258668764</v>
      </c>
      <c r="M80" s="380">
        <f>IF($D$51="Gemittelte Gesamtprognose",10,IF($D$51="Obere Prognose (Optimiste Prognose)",10,IF($D$51="Mittlere Prognose",W60,IF($D$51="Untere Prognose (Pessimistische Prognose)",10,""))))</f>
        <v>-0.52106659258668764</v>
      </c>
      <c r="N80" s="379"/>
      <c r="O80" s="379"/>
      <c r="P80" s="379"/>
      <c r="Q80" s="379"/>
      <c r="R80" s="379"/>
      <c r="S80" s="379"/>
      <c r="T80" s="379"/>
      <c r="U80" s="379"/>
      <c r="V80" s="379"/>
      <c r="W80" s="379"/>
      <c r="X80" s="379"/>
      <c r="Y80" s="379"/>
      <c r="Z80" s="379"/>
      <c r="AA80" s="379"/>
      <c r="AB80" s="379"/>
    </row>
    <row r="81" spans="1:30" x14ac:dyDescent="0.2">
      <c r="A81" s="374"/>
      <c r="B81" s="684" t="s">
        <v>145</v>
      </c>
      <c r="C81" s="684"/>
      <c r="D81" s="650" t="s">
        <v>976</v>
      </c>
      <c r="E81" s="650"/>
      <c r="F81" s="650" t="s">
        <v>977</v>
      </c>
      <c r="G81" s="650"/>
      <c r="H81" s="379"/>
      <c r="I81" s="379"/>
      <c r="J81" s="379" t="s">
        <v>970</v>
      </c>
      <c r="K81" s="380">
        <f>IF($D$51="Gemittelte Gesamtprognose",10,IF($D$51="Obere Prognose (Optimiste Prognose)",10,IF($D$51="Mittlere Prognose",10,IF($D$51="Untere Prognose (Pessimistische Prognose)",Z61,""))))</f>
        <v>10</v>
      </c>
      <c r="L81" s="380">
        <f>IF($D$51="Gemittelte Gesamtprognose",10,IF($D$51="Obere Prognose (Optimiste Prognose)",10,IF($D$51="Mittlere Prognose",10,IF($D$51="Untere Prognose (Pessimistische Prognose)",AA61,""))))</f>
        <v>10</v>
      </c>
      <c r="M81" s="380">
        <f>IF($D$51="Gemittelte Gesamtprognose",10,IF($D$51="Obere Prognose (Optimiste Prognose)",10,IF($D$51="Mittlere Prognose",10,IF($D$51="Untere Prognose (Pessimistische Prognose)",AB61,""))))</f>
        <v>10</v>
      </c>
      <c r="N81" s="379"/>
      <c r="O81" s="379"/>
      <c r="P81" s="379"/>
      <c r="Q81" s="379"/>
      <c r="R81" s="379"/>
      <c r="S81" s="379"/>
      <c r="T81" s="379"/>
      <c r="U81" s="379"/>
      <c r="V81" s="379"/>
      <c r="W81" s="379"/>
      <c r="X81" s="379"/>
      <c r="Y81" s="379"/>
      <c r="Z81" s="379"/>
      <c r="AA81" s="379"/>
      <c r="AB81" s="379"/>
    </row>
    <row r="82" spans="1:30" x14ac:dyDescent="0.2">
      <c r="A82" s="374"/>
      <c r="B82" s="684"/>
      <c r="C82" s="684"/>
      <c r="D82" s="170" t="s">
        <v>979</v>
      </c>
      <c r="E82" s="170" t="s">
        <v>978</v>
      </c>
      <c r="F82" s="170" t="s">
        <v>979</v>
      </c>
      <c r="G82" s="170" t="s">
        <v>978</v>
      </c>
      <c r="H82" s="379"/>
      <c r="I82" s="379"/>
      <c r="J82" s="379"/>
      <c r="K82" s="379"/>
      <c r="L82" s="379"/>
      <c r="M82" s="379"/>
      <c r="N82" s="379"/>
      <c r="O82" s="379"/>
      <c r="P82" s="379"/>
      <c r="Q82" s="379"/>
      <c r="R82" s="379"/>
      <c r="S82" s="379"/>
      <c r="T82" s="379"/>
      <c r="U82" s="379"/>
      <c r="V82" s="379"/>
      <c r="W82" s="379"/>
      <c r="X82" s="379"/>
      <c r="Y82" s="379"/>
      <c r="Z82" s="379"/>
      <c r="AA82" s="379"/>
      <c r="AB82" s="379"/>
    </row>
    <row r="83" spans="1:30" x14ac:dyDescent="0.2">
      <c r="A83" s="374"/>
      <c r="B83" s="642" t="str">
        <f>K44</f>
        <v>ZnO-Nanopartikel</v>
      </c>
      <c r="C83" s="642"/>
      <c r="D83" s="369">
        <f>IF(Eingabe!A13=FALSE,0,-ROUND(IF($D$79="Gemittelte Gesamtprognose",J95,IF($D$79="Obere Prognose (Optimiste Prognose)",O95,IF($D$79="Mittlere Prognose",T95,IF($D$79="Untere Prognose (Pessimistische Prognose)",Y95,"")))),-2))</f>
        <v>-112800</v>
      </c>
      <c r="E83" s="369">
        <f>IF(Eingabe!A13=FALSE,0,-ROUND(IF($D$79="Gemittelte Gesamtprognose",K95,IF($D$79="Obere Prognose (Optimiste Prognose)",P95,IF($D$79="Mittlere Prognose",U95,IF($D$79="Untere Prognose (Pessimistische Prognose)",Z95,"")))),-2))</f>
        <v>-184900</v>
      </c>
      <c r="F83" s="375">
        <f>IF(Eingabe!A13=FALSE,0,-ROUND(IF($D$79="Gemittelte Gesamtprognose",L95,IF($D$79="Obere Prognose (Optimiste Prognose)",Q95,IF($D$79="Mittlere Prognose",V95,IF($D$79="Untere Prognose (Pessimistische Prognose)",AA95,"")))),-2))</f>
        <v>-164300</v>
      </c>
      <c r="G83" s="375">
        <f>IF(Eingabe!A13=FALSE,0,-ROUND(IF($D$79="Gemittelte Gesamtprognose",M95,IF($D$79="Obere Prognose (Optimiste Prognose)",R95,IF($D$79="Mittlere Prognose",W95,IF($D$79="Untere Prognose (Pessimistische Prognose)",AB95,"")))),-2))</f>
        <v>-230600</v>
      </c>
      <c r="H83" s="379"/>
      <c r="I83" s="379"/>
      <c r="J83" s="379" t="s">
        <v>969</v>
      </c>
      <c r="K83" s="381" t="str">
        <f t="shared" ref="K83:M85" si="32">IF($D$51="Gemittelte Gesamtprognose",K59,"")</f>
        <v/>
      </c>
      <c r="L83" s="381" t="str">
        <f t="shared" si="32"/>
        <v/>
      </c>
      <c r="M83" s="381" t="str">
        <f t="shared" si="32"/>
        <v/>
      </c>
      <c r="N83" s="379"/>
      <c r="O83" s="379"/>
      <c r="P83" s="379"/>
      <c r="Q83" s="379"/>
      <c r="R83" s="379"/>
      <c r="S83" s="379"/>
      <c r="T83" s="379"/>
      <c r="U83" s="379"/>
      <c r="V83" s="379"/>
      <c r="W83" s="379"/>
      <c r="X83" s="379"/>
      <c r="Y83" s="379"/>
      <c r="Z83" s="379"/>
      <c r="AA83" s="379"/>
      <c r="AB83" s="379"/>
    </row>
    <row r="84" spans="1:30" x14ac:dyDescent="0.2">
      <c r="A84" s="374"/>
      <c r="B84" s="642" t="str">
        <f>L44</f>
        <v>Versilbert</v>
      </c>
      <c r="C84" s="642"/>
      <c r="D84" s="369">
        <f>IF(Eingabe!A13=FALSE,0,-ROUND(IF($D$79="Gemittelte Gesamtprognose",J96,IF($D$79="Obere Prognose (Optimiste Prognose)",O96,IF($D$79="Mittlere Prognose",T96,IF($D$79="Untere Prognose (Pessimistische Prognose)",Y96,"")))),-2))</f>
        <v>-80900</v>
      </c>
      <c r="E84" s="369">
        <f>IF(Eingabe!A13=FALSE,0,-ROUND(IF($D$79="Gemittelte Gesamtprognose",K96,IF($D$79="Obere Prognose (Optimiste Prognose)",P96,IF($D$79="Mittlere Prognose",U96,IF($D$79="Untere Prognose (Pessimistische Prognose)",Z96,"")))),-2))</f>
        <v>-199000</v>
      </c>
      <c r="F84" s="375">
        <f>IF(Eingabe!A13=FALSE,0,-ROUND(IF($D$79="Gemittelte Gesamtprognose",L96,IF($D$79="Obere Prognose (Optimiste Prognose)",Q96,IF($D$79="Mittlere Prognose",V96,IF($D$79="Untere Prognose (Pessimistische Prognose)",AA96,"")))),-2))</f>
        <v>-135100</v>
      </c>
      <c r="G84" s="375">
        <f>IF(Eingabe!A13=FALSE,0,-ROUND(IF($D$79="Gemittelte Gesamtprognose",M96,IF($D$79="Obere Prognose (Optimiste Prognose)",R96,IF($D$79="Mittlere Prognose",W96,IF($D$79="Untere Prognose (Pessimistische Prognose)",AB96,"")))),-2))</f>
        <v>-243500</v>
      </c>
      <c r="H84" s="379"/>
      <c r="I84" s="379"/>
      <c r="J84" s="379" t="s">
        <v>966</v>
      </c>
      <c r="K84" s="381" t="str">
        <f t="shared" si="32"/>
        <v/>
      </c>
      <c r="L84" s="381" t="str">
        <f t="shared" si="32"/>
        <v/>
      </c>
      <c r="M84" s="381" t="str">
        <f t="shared" si="32"/>
        <v/>
      </c>
      <c r="N84" s="379"/>
      <c r="O84" s="379"/>
      <c r="P84" s="379"/>
      <c r="Q84" s="379"/>
      <c r="R84" s="379"/>
      <c r="S84" s="379"/>
      <c r="T84" s="379"/>
      <c r="U84" s="379"/>
      <c r="V84" s="379"/>
      <c r="W84" s="379"/>
      <c r="X84" s="379"/>
      <c r="Y84" s="379"/>
      <c r="Z84" s="379"/>
      <c r="AA84" s="379"/>
      <c r="AB84" s="379"/>
    </row>
    <row r="85" spans="1:30" x14ac:dyDescent="0.2">
      <c r="A85" s="374"/>
      <c r="B85" s="642" t="str" cm="1">
        <f t="array" ref="B85">_xlfn.ANCHORARRAY(M44)</f>
        <v>Ceramic Smooth Hydrophobic-1</v>
      </c>
      <c r="C85" s="642"/>
      <c r="D85" s="369">
        <f>IF(Eingabe!A13=FALSE,0,-ROUND(IF($D$79="Gemittelte Gesamtprognose",J97,IF($D$79="Obere Prognose (Optimiste Prognose)",O97,IF($D$79="Mittlere Prognose",T97,IF($D$79="Untere Prognose (Pessimistische Prognose)",Y97,"")))),-2))</f>
        <v>-57700</v>
      </c>
      <c r="E85" s="369">
        <f>IF(Eingabe!A13=FALSE,0,-ROUND(IF($D$79="Gemittelte Gesamtprognose",K97,IF($D$79="Obere Prognose (Optimiste Prognose)",P97,IF($D$79="Mittlere Prognose",U97,IF($D$79="Untere Prognose (Pessimistische Prognose)",Z97,"")))),-2))</f>
        <v>-197000</v>
      </c>
      <c r="F85" s="375">
        <f>IF(Eingabe!A13=FALSE,0,-ROUND(IF($D$79="Gemittelte Gesamtprognose",L97,IF($D$79="Obere Prognose (Optimiste Prognose)",Q97,IF($D$79="Mittlere Prognose",V97,IF($D$79="Untere Prognose (Pessimistische Prognose)",AA97,"")))),-2))</f>
        <v>-113700</v>
      </c>
      <c r="G85" s="375">
        <f>IF(Eingabe!A13=FALSE,0,-ROUND(IF($D$79="Gemittelte Gesamtprognose",M97,IF($D$79="Obere Prognose (Optimiste Prognose)",R97,IF($D$79="Mittlere Prognose",W97,IF($D$79="Untere Prognose (Pessimistische Prognose)",AB97,"")))),-2))</f>
        <v>-241700</v>
      </c>
      <c r="H85" s="379"/>
      <c r="I85" s="379"/>
      <c r="J85" s="379" t="s">
        <v>970</v>
      </c>
      <c r="K85" s="381" t="str">
        <f t="shared" si="32"/>
        <v/>
      </c>
      <c r="L85" s="381" t="str">
        <f t="shared" si="32"/>
        <v/>
      </c>
      <c r="M85" s="381" t="str">
        <f t="shared" si="32"/>
        <v/>
      </c>
      <c r="N85" s="379"/>
      <c r="O85" s="379"/>
      <c r="P85" s="379"/>
      <c r="Q85" s="379"/>
      <c r="R85" s="379"/>
      <c r="S85" s="379"/>
      <c r="T85" s="379"/>
      <c r="U85" s="379"/>
      <c r="V85" s="379"/>
      <c r="W85" s="379"/>
      <c r="X85" s="379"/>
      <c r="Y85" s="379"/>
      <c r="Z85" s="379"/>
      <c r="AA85" s="379"/>
      <c r="AB85" s="379"/>
    </row>
    <row r="86" spans="1:30" x14ac:dyDescent="0.2">
      <c r="A86" s="374"/>
      <c r="H86" s="379"/>
      <c r="I86" s="379"/>
      <c r="J86" s="379"/>
      <c r="K86" s="379"/>
      <c r="L86" s="379"/>
      <c r="M86" s="379"/>
      <c r="N86" s="379"/>
      <c r="O86" s="379"/>
      <c r="P86" s="379"/>
      <c r="Q86" s="379"/>
      <c r="R86" s="379"/>
      <c r="S86" s="379"/>
      <c r="T86" s="379"/>
      <c r="U86" s="379"/>
      <c r="V86" s="379"/>
      <c r="W86" s="379"/>
      <c r="X86" s="379"/>
      <c r="Y86" s="379"/>
      <c r="Z86" s="379"/>
      <c r="AA86" s="379"/>
      <c r="AB86" s="379"/>
    </row>
    <row r="87" spans="1:30" x14ac:dyDescent="0.2">
      <c r="A87" s="374"/>
      <c r="B87" s="684" t="s">
        <v>146</v>
      </c>
      <c r="C87" s="684"/>
      <c r="D87" s="650" t="s">
        <v>976</v>
      </c>
      <c r="E87" s="650"/>
      <c r="F87" s="650" t="s">
        <v>977</v>
      </c>
      <c r="G87" s="650"/>
      <c r="H87" s="379"/>
      <c r="I87" s="379">
        <f>IF(AND(D83=0,D89=0),"keine Amortisation",F98*12)</f>
        <v>0.20146189735614306</v>
      </c>
      <c r="J87" s="379"/>
      <c r="K87" s="380" t="str">
        <f t="shared" ref="K87:M87" si="33">K83</f>
        <v/>
      </c>
      <c r="L87" s="380" t="str">
        <f t="shared" si="33"/>
        <v/>
      </c>
      <c r="M87" s="380" t="str">
        <f t="shared" si="33"/>
        <v/>
      </c>
      <c r="N87" s="379"/>
      <c r="O87" s="379"/>
      <c r="P87" s="379"/>
      <c r="Q87" s="379"/>
      <c r="R87" s="379"/>
      <c r="S87" s="379"/>
      <c r="T87" s="379"/>
      <c r="U87" s="379"/>
      <c r="V87" s="379"/>
      <c r="W87" s="379"/>
      <c r="X87" s="379"/>
      <c r="Y87" s="379"/>
      <c r="Z87" s="379"/>
      <c r="AA87" s="379"/>
      <c r="AB87" s="379"/>
    </row>
    <row r="88" spans="1:30" x14ac:dyDescent="0.2">
      <c r="A88" s="374"/>
      <c r="B88" s="684"/>
      <c r="C88" s="684"/>
      <c r="D88" s="170" t="s">
        <v>979</v>
      </c>
      <c r="E88" s="170" t="s">
        <v>978</v>
      </c>
      <c r="F88" s="170" t="s">
        <v>979</v>
      </c>
      <c r="G88" s="170" t="s">
        <v>978</v>
      </c>
      <c r="H88" s="379"/>
      <c r="I88" s="379"/>
      <c r="J88" s="379"/>
      <c r="K88" s="380" t="e">
        <f>K84-K83</f>
        <v>#VALUE!</v>
      </c>
      <c r="L88" s="380" t="e">
        <f t="shared" ref="L88:M88" si="34">L84-L83</f>
        <v>#VALUE!</v>
      </c>
      <c r="M88" s="380" t="e">
        <f t="shared" si="34"/>
        <v>#VALUE!</v>
      </c>
      <c r="N88" s="379"/>
      <c r="O88" s="379"/>
      <c r="P88" s="379"/>
      <c r="Q88" s="379"/>
      <c r="R88" s="379"/>
      <c r="S88" s="379"/>
      <c r="T88" s="379"/>
      <c r="U88" s="379"/>
      <c r="V88" s="379"/>
      <c r="W88" s="379"/>
      <c r="X88" s="379"/>
      <c r="Y88" s="379"/>
      <c r="Z88" s="379"/>
      <c r="AA88" s="379"/>
      <c r="AB88" s="379"/>
    </row>
    <row r="89" spans="1:30" x14ac:dyDescent="0.2">
      <c r="A89" s="374"/>
      <c r="B89" s="642" t="str">
        <f>K44</f>
        <v>ZnO-Nanopartikel</v>
      </c>
      <c r="C89" s="642"/>
      <c r="D89" s="369">
        <f>IF(Eingabe!A14=FALSE,0,-ROUND(IF($D$79="Gemittelte Gesamtprognose",J101,IF($D$79="Obere Prognose (Optimiste Prognose)",O101,IF($D$79="Mittlere Prognose",T101,IF($D$79="Untere Prognose (Pessimistische Prognose)",Y101,"")))),-2))</f>
        <v>-15800</v>
      </c>
      <c r="E89" s="369">
        <f>IF(Eingabe!A14=FALSE,0,-ROUND(IF($D$79="Gemittelte Gesamtprognose",K101,IF($D$79="Obere Prognose (Optimiste Prognose)",P101,IF($D$79="Mittlere Prognose",U101,IF($D$79="Untere Prognose (Pessimistische Prognose)",Z101,"")))),-2))</f>
        <v>-18200</v>
      </c>
      <c r="F89" s="375">
        <f>IF(Eingabe!A14=FALSE,0,-ROUND(IF($D$79="Gemittelte Gesamtprognose",L101,IF($D$79="Obere Prognose (Optimiste Prognose)",Q101,IF($D$79="Mittlere Prognose",V101,IF($D$79="Untere Prognose (Pessimistische Prognose)",AA101,"")))),-2))</f>
        <v>1800</v>
      </c>
      <c r="G89" s="375">
        <f>IF(Eingabe!A14=FALSE,0,-ROUND(IF($D$79="Gemittelte Gesamtprognose",M101,IF($D$79="Obere Prognose (Optimiste Prognose)",R101,IF($D$79="Mittlere Prognose",W101,IF($D$79="Untere Prognose (Pessimistische Prognose)",AB101,"")))),-2))</f>
        <v>-6200</v>
      </c>
      <c r="H89" s="379"/>
      <c r="I89" s="379"/>
      <c r="J89" s="379"/>
      <c r="K89" s="380" t="e">
        <f>K85-K84</f>
        <v>#VALUE!</v>
      </c>
      <c r="L89" s="380" t="e">
        <f t="shared" ref="L89:M89" si="35">L85-L84</f>
        <v>#VALUE!</v>
      </c>
      <c r="M89" s="380" t="e">
        <f t="shared" si="35"/>
        <v>#VALUE!</v>
      </c>
      <c r="N89" s="379"/>
      <c r="O89" s="379"/>
      <c r="P89" s="379"/>
      <c r="Q89" s="379"/>
      <c r="R89" s="379"/>
      <c r="S89" s="379"/>
      <c r="T89" s="379"/>
      <c r="U89" s="379"/>
      <c r="V89" s="379"/>
      <c r="W89" s="379"/>
      <c r="X89" s="379"/>
      <c r="Y89" s="379"/>
      <c r="Z89" s="379"/>
      <c r="AA89" s="379"/>
      <c r="AB89" s="379"/>
    </row>
    <row r="90" spans="1:30" x14ac:dyDescent="0.2">
      <c r="A90" s="374"/>
      <c r="B90" s="642" t="str">
        <f>L44</f>
        <v>Versilbert</v>
      </c>
      <c r="C90" s="642"/>
      <c r="D90" s="369">
        <f>IF(Eingabe!A14=FALSE,0,-ROUND(IF($D$79="Gemittelte Gesamtprognose",J102,IF($D$79="Obere Prognose (Optimiste Prognose)",O102,IF($D$79="Mittlere Prognose",T102,IF($D$79="Untere Prognose (Pessimistische Prognose)",Y102,"")))),-2))</f>
        <v>-14700</v>
      </c>
      <c r="E90" s="369">
        <f>IF(Eingabe!A14=FALSE,0,-ROUND(IF($D$79="Gemittelte Gesamtprognose",K102,IF($D$79="Obere Prognose (Optimiste Prognose)",P102,IF($D$79="Mittlere Prognose",U102,IF($D$79="Untere Prognose (Pessimistische Prognose)",Z102,"")))),-2))</f>
        <v>-18700</v>
      </c>
      <c r="F90" s="375">
        <f>IF(Eingabe!A14=FALSE,0,-ROUND(IF($D$79="Gemittelte Gesamtprognose",L102,IF($D$79="Obere Prognose (Optimiste Prognose)",Q102,IF($D$79="Mittlere Prognose",V102,IF($D$79="Untere Prognose (Pessimistische Prognose)",AA102,"")))),-2))</f>
        <v>5300</v>
      </c>
      <c r="G90" s="375">
        <f>IF(Eingabe!A14=FALSE,0,-ROUND(IF($D$79="Gemittelte Gesamtprognose",M102,IF($D$79="Obere Prognose (Optimiste Prognose)",R102,IF($D$79="Mittlere Prognose",W102,IF($D$79="Untere Prognose (Pessimistische Prognose)",AB102,"")))),-2))</f>
        <v>-7700</v>
      </c>
      <c r="H90" s="379"/>
      <c r="I90" s="379"/>
      <c r="J90" s="379"/>
      <c r="K90" s="379"/>
      <c r="L90" s="379"/>
      <c r="M90" s="379"/>
      <c r="N90" s="379"/>
      <c r="O90" s="379"/>
      <c r="P90" s="379"/>
      <c r="Q90" s="379"/>
      <c r="R90" s="379"/>
      <c r="S90" s="379"/>
      <c r="T90" s="379"/>
      <c r="U90" s="379"/>
      <c r="V90" s="379"/>
      <c r="W90" s="379"/>
      <c r="X90" s="379"/>
      <c r="Y90" s="379"/>
      <c r="Z90" s="379"/>
      <c r="AA90" s="379"/>
      <c r="AB90" s="379"/>
    </row>
    <row r="91" spans="1:30" x14ac:dyDescent="0.2">
      <c r="A91" s="374"/>
      <c r="B91" s="642" t="str">
        <f>M44</f>
        <v>Ceramic Smooth Hydrophobic-1</v>
      </c>
      <c r="C91" s="642"/>
      <c r="D91" s="369">
        <f>IF(Eingabe!A14=FALSE,0,-ROUND(IF($D$79="Gemittelte Gesamtprognose",J103,IF($D$79="Obere Prognose (Optimiste Prognose)",O103,IF($D$79="Mittlere Prognose",T103,IF($D$79="Untere Prognose (Pessimistische Prognose)",Y103,"")))),-2))</f>
        <v>-13900</v>
      </c>
      <c r="E91" s="369">
        <f>IF(Eingabe!A14=FALSE,0,-ROUND(IF($D$79="Gemittelte Gesamtprognose",K103,IF($D$79="Obere Prognose (Optimiste Prognose)",P103,IF($D$79="Mittlere Prognose",U103,IF($D$79="Untere Prognose (Pessimistische Prognose)",Z103,"")))),-2))</f>
        <v>-18600</v>
      </c>
      <c r="F91" s="375">
        <f>IF(Eingabe!A14=FALSE,0,-ROUND(IF($D$79="Gemittelte Gesamtprognose",L103,IF($D$79="Obere Prognose (Optimiste Prognose)",Q103,IF($D$79="Mittlere Prognose",V103,IF($D$79="Untere Prognose (Pessimistische Prognose)",AA103,"")))),-2))</f>
        <v>7800</v>
      </c>
      <c r="G91" s="375">
        <f>IF(Eingabe!A14=FALSE,0,-ROUND(IF($D$79="Gemittelte Gesamtprognose",M103,IF($D$79="Obere Prognose (Optimiste Prognose)",R103,IF($D$79="Mittlere Prognose",W103,IF($D$79="Untere Prognose (Pessimistische Prognose)",AB103,"")))),-2))</f>
        <v>-7500</v>
      </c>
      <c r="H91" s="379"/>
      <c r="I91" s="379"/>
      <c r="J91" s="379"/>
      <c r="K91" s="379"/>
      <c r="L91" s="379"/>
      <c r="M91" s="379"/>
      <c r="N91" s="379"/>
      <c r="O91" s="379"/>
      <c r="P91" s="379"/>
      <c r="Q91" s="379"/>
      <c r="R91" s="379"/>
      <c r="S91" s="379"/>
      <c r="T91" s="379"/>
      <c r="U91" s="379"/>
      <c r="V91" s="379"/>
      <c r="W91" s="379"/>
      <c r="X91" s="379"/>
      <c r="Y91" s="379"/>
      <c r="Z91" s="379"/>
      <c r="AA91" s="379"/>
      <c r="AB91" s="379"/>
    </row>
    <row r="92" spans="1:30" x14ac:dyDescent="0.2">
      <c r="A92" s="374"/>
      <c r="B92" s="374"/>
      <c r="C92" s="374"/>
      <c r="D92" s="374"/>
      <c r="E92" s="374"/>
      <c r="F92" s="374"/>
      <c r="G92" s="374"/>
      <c r="H92" s="419"/>
      <c r="I92" s="419"/>
      <c r="J92" s="678" t="s">
        <v>965</v>
      </c>
      <c r="K92" s="678"/>
      <c r="L92" s="678"/>
      <c r="M92" s="678"/>
      <c r="N92" s="419"/>
      <c r="O92" s="678" t="s">
        <v>969</v>
      </c>
      <c r="P92" s="678"/>
      <c r="Q92" s="678"/>
      <c r="R92" s="678"/>
      <c r="S92" s="419"/>
      <c r="T92" s="678" t="s">
        <v>967</v>
      </c>
      <c r="U92" s="678"/>
      <c r="V92" s="678"/>
      <c r="W92" s="678"/>
      <c r="X92" s="419"/>
      <c r="Y92" s="678" t="s">
        <v>970</v>
      </c>
      <c r="Z92" s="678"/>
      <c r="AA92" s="678"/>
      <c r="AB92" s="678"/>
      <c r="AC92" s="244"/>
      <c r="AD92" s="244"/>
    </row>
    <row r="93" spans="1:30" x14ac:dyDescent="0.2">
      <c r="A93" s="374"/>
      <c r="B93" s="648" t="s">
        <v>980</v>
      </c>
      <c r="C93" s="648"/>
      <c r="D93" s="648"/>
      <c r="E93" s="648"/>
      <c r="F93" s="648"/>
      <c r="G93" s="648"/>
      <c r="H93" s="419"/>
      <c r="I93" s="419"/>
      <c r="J93" s="678" t="s">
        <v>976</v>
      </c>
      <c r="K93" s="678"/>
      <c r="L93" s="678" t="s">
        <v>977</v>
      </c>
      <c r="M93" s="678"/>
      <c r="N93" s="419"/>
      <c r="O93" s="678" t="s">
        <v>976</v>
      </c>
      <c r="P93" s="678"/>
      <c r="Q93" s="678" t="s">
        <v>977</v>
      </c>
      <c r="R93" s="678"/>
      <c r="S93" s="419"/>
      <c r="T93" s="678" t="s">
        <v>976</v>
      </c>
      <c r="U93" s="678"/>
      <c r="V93" s="678" t="s">
        <v>977</v>
      </c>
      <c r="W93" s="678"/>
      <c r="X93" s="419"/>
      <c r="Y93" s="678" t="s">
        <v>976</v>
      </c>
      <c r="Z93" s="678"/>
      <c r="AA93" s="678" t="s">
        <v>977</v>
      </c>
      <c r="AB93" s="678"/>
      <c r="AC93" s="244"/>
      <c r="AD93" s="244"/>
    </row>
    <row r="94" spans="1:30" x14ac:dyDescent="0.2">
      <c r="A94" s="374"/>
      <c r="B94" s="648"/>
      <c r="C94" s="648"/>
      <c r="D94" s="648"/>
      <c r="E94" s="648"/>
      <c r="F94" s="648"/>
      <c r="G94" s="648"/>
      <c r="H94" s="419"/>
      <c r="I94" s="419"/>
      <c r="J94" s="419" t="s">
        <v>979</v>
      </c>
      <c r="K94" s="419" t="s">
        <v>978</v>
      </c>
      <c r="L94" s="419" t="s">
        <v>979</v>
      </c>
      <c r="M94" s="419" t="s">
        <v>978</v>
      </c>
      <c r="N94" s="419"/>
      <c r="O94" s="419" t="s">
        <v>979</v>
      </c>
      <c r="P94" s="419" t="s">
        <v>978</v>
      </c>
      <c r="Q94" s="419" t="s">
        <v>979</v>
      </c>
      <c r="R94" s="419" t="s">
        <v>978</v>
      </c>
      <c r="S94" s="419"/>
      <c r="T94" s="419" t="s">
        <v>979</v>
      </c>
      <c r="U94" s="419" t="s">
        <v>978</v>
      </c>
      <c r="V94" s="419" t="s">
        <v>979</v>
      </c>
      <c r="W94" s="419" t="s">
        <v>978</v>
      </c>
      <c r="X94" s="419"/>
      <c r="Y94" s="419" t="s">
        <v>979</v>
      </c>
      <c r="Z94" s="419" t="s">
        <v>978</v>
      </c>
      <c r="AA94" s="419" t="s">
        <v>979</v>
      </c>
      <c r="AB94" s="419" t="s">
        <v>978</v>
      </c>
      <c r="AC94" s="244"/>
      <c r="AD94" s="244"/>
    </row>
    <row r="95" spans="1:30" x14ac:dyDescent="0.2">
      <c r="A95" s="374"/>
      <c r="B95" s="374"/>
      <c r="C95" s="374"/>
      <c r="D95" s="374"/>
      <c r="E95" s="374"/>
      <c r="F95" s="374"/>
      <c r="G95" s="374"/>
      <c r="H95" s="419"/>
      <c r="I95" s="419" t="str">
        <f>K44</f>
        <v>ZnO-Nanopartikel</v>
      </c>
      <c r="J95" s="448">
        <f>ROUND('Berechnung-WÜ-Material'!D196,0)</f>
        <v>112767</v>
      </c>
      <c r="K95" s="448">
        <f>ROUND('Berechnung-WÜ-Material'!E194,0)</f>
        <v>220536</v>
      </c>
      <c r="L95" s="449">
        <f>ROUND('Berechnung-WÜ-Material'!G196,0)</f>
        <v>164303</v>
      </c>
      <c r="M95" s="449">
        <f>ROUND('Berechnung-WÜ-Material'!H194,0)</f>
        <v>278467</v>
      </c>
      <c r="N95" s="419"/>
      <c r="O95" s="448">
        <f>ROUND('Berechnung-WÜ-Material'!C196,0)</f>
        <v>85223</v>
      </c>
      <c r="P95" s="448">
        <f>ROUND('Berechnung-WÜ-Material'!C194,0)</f>
        <v>139741</v>
      </c>
      <c r="Q95" s="449">
        <f>ROUND('Berechnung-WÜ-Material'!F196,0)</f>
        <v>103602</v>
      </c>
      <c r="R95" s="449">
        <f>ROUND('Berechnung-WÜ-Material'!F194,0)</f>
        <v>169877</v>
      </c>
      <c r="S95" s="419"/>
      <c r="T95" s="448">
        <f>ROUND('Berechnung-WÜ-Material'!D196,0)</f>
        <v>112767</v>
      </c>
      <c r="U95" s="448">
        <f>ROUND('Berechnung-WÜ-Material'!D194,0)</f>
        <v>184905</v>
      </c>
      <c r="V95" s="449">
        <f>ROUND('Berechnung-WÜ-Material'!G196,0)</f>
        <v>164303</v>
      </c>
      <c r="W95" s="449">
        <f>ROUND('Berechnung-WÜ-Material'!G194,0)</f>
        <v>230579</v>
      </c>
      <c r="X95" s="419"/>
      <c r="Y95" s="448">
        <f>ROUND('Berechnung-WÜ-Material'!E196,0)</f>
        <v>134497</v>
      </c>
      <c r="Z95" s="448">
        <f>ROUND('Berechnung-WÜ-Material'!E194,0)</f>
        <v>220536</v>
      </c>
      <c r="AA95" s="449">
        <f>ROUND('Berechnung-WÜ-Material'!H196,0)</f>
        <v>212192</v>
      </c>
      <c r="AB95" s="449">
        <f>ROUND('Berechnung-WÜ-Material'!H194,0)</f>
        <v>278467</v>
      </c>
      <c r="AC95" s="244"/>
      <c r="AD95" s="244"/>
    </row>
    <row r="96" spans="1:30" x14ac:dyDescent="0.2">
      <c r="A96" s="374"/>
      <c r="B96" s="670" t="str">
        <f>B38</f>
        <v>ZnO-Nanopartikel</v>
      </c>
      <c r="C96" s="670"/>
      <c r="D96" s="650" t="s">
        <v>983</v>
      </c>
      <c r="E96" s="650"/>
      <c r="F96" s="371" t="str">
        <f>IF(I38&lt;&gt;0,"Wert verfügbar","Kein Wert verfügbar")</f>
        <v>Kein Wert verfügbar</v>
      </c>
      <c r="G96" s="417" t="str">
        <f>IF(I38&lt;&gt;0,I38,"")</f>
        <v/>
      </c>
      <c r="H96" s="419"/>
      <c r="I96" s="419" t="str">
        <f>L44</f>
        <v>Versilbert</v>
      </c>
      <c r="J96" s="448">
        <f>ROUND('Berechnung-WÜ-Material'!L196,0)</f>
        <v>80933</v>
      </c>
      <c r="K96" s="448">
        <f>ROUND('Berechnung-WÜ-Material'!M194,0)</f>
        <v>237352</v>
      </c>
      <c r="L96" s="449">
        <f>ROUND('Berechnung-WÜ-Material'!O196,0)</f>
        <v>135057</v>
      </c>
      <c r="M96" s="449">
        <f>ROUND('Berechnung-WÜ-Material'!P194,0)</f>
        <v>291421</v>
      </c>
      <c r="N96" s="419"/>
      <c r="O96" s="448">
        <f>ROUND('Berechnung-WÜ-Material'!K196,0)</f>
        <v>61164</v>
      </c>
      <c r="P96" s="448">
        <f>ROUND('Berechnung-WÜ-Material'!K194,0)</f>
        <v>150396</v>
      </c>
      <c r="Q96" s="449">
        <f>ROUND('Berechnung-WÜ-Material'!N196,0)</f>
        <v>74355</v>
      </c>
      <c r="R96" s="449">
        <f>ROUND('Berechnung-WÜ-Material'!N194,0)</f>
        <v>182830</v>
      </c>
      <c r="S96" s="419"/>
      <c r="T96" s="448">
        <f>ROUND('Berechnung-WÜ-Material'!L196,0)</f>
        <v>80933</v>
      </c>
      <c r="U96" s="448">
        <f>ROUND('Berechnung-WÜ-Material'!L194,0)</f>
        <v>199004</v>
      </c>
      <c r="V96" s="449">
        <f>ROUND('Berechnung-WÜ-Material'!O196,0)</f>
        <v>135057</v>
      </c>
      <c r="W96" s="449">
        <f>ROUND('Berechnung-WÜ-Material'!O194,0)</f>
        <v>243532</v>
      </c>
      <c r="X96" s="419"/>
      <c r="Y96" s="448">
        <f>ROUND('Berechnung-WÜ-Material'!M196,0)</f>
        <v>96528</v>
      </c>
      <c r="Z96" s="448">
        <f>ROUND('Berechnung-WÜ-Material'!M194,0)</f>
        <v>237352</v>
      </c>
      <c r="AA96" s="449">
        <f>ROUND('Berechnung-WÜ-Material'!P196,0)</f>
        <v>182946</v>
      </c>
      <c r="AB96" s="449">
        <f>ROUND('Berechnung-WÜ-Material'!P194,0)</f>
        <v>291421</v>
      </c>
      <c r="AC96" s="244"/>
      <c r="AD96" s="244"/>
    </row>
    <row r="97" spans="1:30" x14ac:dyDescent="0.2">
      <c r="A97" s="374"/>
      <c r="B97" s="670"/>
      <c r="C97" s="670"/>
      <c r="D97" s="650" t="s">
        <v>982</v>
      </c>
      <c r="E97" s="650"/>
      <c r="F97" s="673">
        <v>127</v>
      </c>
      <c r="G97" s="669"/>
      <c r="H97" s="448">
        <f>-(F97*D11)/SUM(D83,D89)</f>
        <v>1.6788491446345255E-2</v>
      </c>
      <c r="I97" s="419" t="str">
        <f>M44</f>
        <v>Ceramic Smooth Hydrophobic-1</v>
      </c>
      <c r="J97" s="448">
        <f>ROUND('Berechnung-WÜ-Material'!T196,0)</f>
        <v>57716</v>
      </c>
      <c r="K97" s="448">
        <f>ROUND('Berechnung-WÜ-Material'!U194,0)</f>
        <v>234928</v>
      </c>
      <c r="L97" s="449">
        <f>ROUND('Berechnung-WÜ-Material'!W196,0)</f>
        <v>113727</v>
      </c>
      <c r="M97" s="449">
        <f>ROUND('Berechnung-WÜ-Material'!X194,0)</f>
        <v>289554</v>
      </c>
      <c r="N97" s="419"/>
      <c r="O97" s="448">
        <f>ROUND('Berechnung-WÜ-Material'!S196,0)</f>
        <v>43618</v>
      </c>
      <c r="P97" s="448">
        <f>ROUND('Berechnung-WÜ-Material'!S194,0)</f>
        <v>148860</v>
      </c>
      <c r="Q97" s="449">
        <f>ROUND('Berechnung-WÜ-Material'!V196,0)</f>
        <v>53025</v>
      </c>
      <c r="R97" s="449">
        <f>ROUND('Berechnung-WÜ-Material'!V194,0)</f>
        <v>180963</v>
      </c>
      <c r="S97" s="419"/>
      <c r="T97" s="448">
        <f>ROUND('Berechnung-WÜ-Material'!T196,0)</f>
        <v>57716</v>
      </c>
      <c r="U97" s="448">
        <f>ROUND('Berechnung-WÜ-Material'!T194,0)</f>
        <v>196971</v>
      </c>
      <c r="V97" s="449">
        <f>ROUND('Berechnung-WÜ-Material'!W196,0)</f>
        <v>113727</v>
      </c>
      <c r="W97" s="449">
        <f>ROUND('Berechnung-WÜ-Material'!W194,0)</f>
        <v>241665</v>
      </c>
      <c r="X97" s="419"/>
      <c r="Y97" s="448">
        <f>ROUND('Berechnung-WÜ-Material'!U196,0)</f>
        <v>68838</v>
      </c>
      <c r="Z97" s="448">
        <f>ROUND('Berechnung-WÜ-Material'!U194,0)</f>
        <v>234928</v>
      </c>
      <c r="AA97" s="449">
        <f>ROUND('Berechnung-WÜ-Material'!X196,0)</f>
        <v>161615</v>
      </c>
      <c r="AB97" s="449">
        <f>ROUND('Berechnung-WÜ-Material'!X194,0)</f>
        <v>289554</v>
      </c>
      <c r="AC97" s="244"/>
      <c r="AD97" s="244"/>
    </row>
    <row r="98" spans="1:30" x14ac:dyDescent="0.2">
      <c r="A98" s="374"/>
      <c r="B98" s="670"/>
      <c r="C98" s="670"/>
      <c r="D98" s="373" t="s">
        <v>981</v>
      </c>
      <c r="E98" s="373"/>
      <c r="F98" s="372">
        <f>IF(AND(D83=0,D89=0),"keine Amortisation",H97)</f>
        <v>1.6788491446345255E-2</v>
      </c>
      <c r="G98" s="429" cm="1">
        <f t="array" ref="G98:H98">IF(AND(D83=0,D89=0),"keine Amortisation",F98*'Ausgabe Standortbewertung'!B94:C94)</f>
        <v>100.73094867807153</v>
      </c>
      <c r="H98" s="419">
        <v>0</v>
      </c>
      <c r="I98" s="419"/>
      <c r="J98" s="419"/>
      <c r="K98" s="419"/>
      <c r="L98" s="419"/>
      <c r="M98" s="419"/>
      <c r="N98" s="419"/>
      <c r="O98" s="419"/>
      <c r="P98" s="419"/>
      <c r="Q98" s="419"/>
      <c r="R98" s="419"/>
      <c r="S98" s="419"/>
      <c r="T98" s="419"/>
      <c r="U98" s="419"/>
      <c r="V98" s="419"/>
      <c r="W98" s="419"/>
      <c r="X98" s="419"/>
      <c r="Y98" s="419"/>
      <c r="Z98" s="419"/>
      <c r="AA98" s="419"/>
      <c r="AB98" s="419"/>
      <c r="AC98" s="244"/>
      <c r="AD98" s="244"/>
    </row>
    <row r="99" spans="1:30" x14ac:dyDescent="0.2">
      <c r="A99" s="374"/>
      <c r="B99" s="670"/>
      <c r="C99" s="670"/>
      <c r="D99" s="677" t="str">
        <f>IF(F98&lt;10,"Beschichtung wird empfhohlen",IF(F98&lt;=20,"Beschichtung möglich",IF(F98&gt;20,"Beschichtung nicht wirtschaftlich")))</f>
        <v>Beschichtung wird empfhohlen</v>
      </c>
      <c r="E99" s="677"/>
      <c r="F99" s="677"/>
      <c r="G99" s="677"/>
      <c r="H99" s="419"/>
      <c r="I99" s="419"/>
      <c r="J99" s="678" t="s">
        <v>976</v>
      </c>
      <c r="K99" s="678"/>
      <c r="L99" s="678" t="s">
        <v>977</v>
      </c>
      <c r="M99" s="678"/>
      <c r="N99" s="419"/>
      <c r="O99" s="678" t="s">
        <v>976</v>
      </c>
      <c r="P99" s="678"/>
      <c r="Q99" s="678" t="s">
        <v>977</v>
      </c>
      <c r="R99" s="678"/>
      <c r="S99" s="419"/>
      <c r="T99" s="678" t="s">
        <v>976</v>
      </c>
      <c r="U99" s="678"/>
      <c r="V99" s="678" t="s">
        <v>977</v>
      </c>
      <c r="W99" s="678"/>
      <c r="X99" s="419"/>
      <c r="Y99" s="678" t="s">
        <v>976</v>
      </c>
      <c r="Z99" s="678"/>
      <c r="AA99" s="678" t="s">
        <v>977</v>
      </c>
      <c r="AB99" s="678"/>
      <c r="AC99" s="244"/>
      <c r="AD99" s="244"/>
    </row>
    <row r="100" spans="1:30" ht="12.75" customHeight="1" x14ac:dyDescent="0.2">
      <c r="A100" s="374"/>
      <c r="B100" s="672" t="str">
        <f>B39</f>
        <v>Versilbert</v>
      </c>
      <c r="C100" s="672"/>
      <c r="D100" s="650" t="s">
        <v>983</v>
      </c>
      <c r="E100" s="650"/>
      <c r="F100" s="371" t="str">
        <f>IF(I39&lt;&gt;0,"Wert verfügbar","Kein Wert verfügbar")</f>
        <v>Wert verfügbar</v>
      </c>
      <c r="G100" s="417" t="str">
        <f>IF(I39&lt;&gt;0,I39,"")</f>
        <v>127 €/Platte</v>
      </c>
      <c r="H100" s="419"/>
      <c r="I100" s="419"/>
      <c r="J100" s="419" t="s">
        <v>979</v>
      </c>
      <c r="K100" s="419" t="s">
        <v>978</v>
      </c>
      <c r="L100" s="419" t="s">
        <v>979</v>
      </c>
      <c r="M100" s="419" t="s">
        <v>978</v>
      </c>
      <c r="N100" s="419"/>
      <c r="O100" s="419" t="s">
        <v>979</v>
      </c>
      <c r="P100" s="419" t="s">
        <v>978</v>
      </c>
      <c r="Q100" s="419" t="s">
        <v>979</v>
      </c>
      <c r="R100" s="419" t="s">
        <v>978</v>
      </c>
      <c r="S100" s="419"/>
      <c r="T100" s="419" t="s">
        <v>979</v>
      </c>
      <c r="U100" s="419" t="s">
        <v>978</v>
      </c>
      <c r="V100" s="419" t="s">
        <v>979</v>
      </c>
      <c r="W100" s="419" t="s">
        <v>978</v>
      </c>
      <c r="X100" s="419"/>
      <c r="Y100" s="419" t="s">
        <v>979</v>
      </c>
      <c r="Z100" s="419" t="s">
        <v>978</v>
      </c>
      <c r="AA100" s="419" t="s">
        <v>979</v>
      </c>
      <c r="AB100" s="419" t="s">
        <v>978</v>
      </c>
      <c r="AC100" s="244"/>
      <c r="AD100" s="244"/>
    </row>
    <row r="101" spans="1:30" x14ac:dyDescent="0.2">
      <c r="A101" s="374"/>
      <c r="B101" s="672"/>
      <c r="C101" s="672"/>
      <c r="D101" s="650" t="s">
        <v>982</v>
      </c>
      <c r="E101" s="650"/>
      <c r="F101" s="673">
        <v>127</v>
      </c>
      <c r="G101" s="669"/>
      <c r="H101" s="448">
        <f>-(F101*D11)/SUM(D84,D90)</f>
        <v>2.2583682008368199E-2</v>
      </c>
      <c r="I101" s="419" t="str">
        <f>K44</f>
        <v>ZnO-Nanopartikel</v>
      </c>
      <c r="J101" s="448">
        <f>ROUND('Berechnung-WÜ-Material'!D205,0)</f>
        <v>15756</v>
      </c>
      <c r="K101" s="448">
        <f>ROUND('Berechnung-WÜ-Material'!E203,0)</f>
        <v>27611</v>
      </c>
      <c r="L101" s="449">
        <f>'Berechnung-WÜ-Material'!G205</f>
        <v>-1764.9368311515698</v>
      </c>
      <c r="M101" s="449">
        <f>'Berechnung-WÜ-Material'!H203</f>
        <v>5102.4276772156391</v>
      </c>
      <c r="N101" s="419"/>
      <c r="O101" s="448">
        <f>ROUND('Berechnung-WÜ-Material'!C205,0)</f>
        <v>3854</v>
      </c>
      <c r="P101" s="448">
        <f>ROUND('Berechnung-WÜ-Material'!C203,0)</f>
        <v>6320</v>
      </c>
      <c r="Q101" s="449">
        <f>ROUND('Berechnung-WÜ-Material'!F205,0)</f>
        <v>4588</v>
      </c>
      <c r="R101" s="449">
        <f>ROUND('Berechnung-WÜ-Material'!F203,0)</f>
        <v>7523</v>
      </c>
      <c r="S101" s="419"/>
      <c r="T101" s="448">
        <f>ROUND('Berechnung-WÜ-Material'!D205,0)</f>
        <v>15756</v>
      </c>
      <c r="U101" s="448">
        <f>ROUND('Berechnung-WÜ-Material'!D203,0)</f>
        <v>18222</v>
      </c>
      <c r="V101" s="449">
        <f>ROUND('Berechnung-WÜ-Material'!G205,0)</f>
        <v>-1765</v>
      </c>
      <c r="W101" s="449">
        <f>ROUND('Berechnung-WÜ-Material'!G203,0)</f>
        <v>6170</v>
      </c>
      <c r="X101" s="419"/>
      <c r="Y101" s="448">
        <f>ROUND('Berechnung-WÜ-Material'!E205,0)</f>
        <v>25146</v>
      </c>
      <c r="Z101" s="448">
        <f>ROUND('Berechnung-WÜ-Material'!E203,0)</f>
        <v>27611</v>
      </c>
      <c r="AA101" s="449">
        <f>ROUND('Berechnung-WÜ-Material'!H205,0)</f>
        <v>-6777</v>
      </c>
      <c r="AB101" s="449">
        <f>ROUND('Berechnung-WÜ-Material'!H203,0)</f>
        <v>5102</v>
      </c>
      <c r="AC101" s="244"/>
      <c r="AD101" s="244"/>
    </row>
    <row r="102" spans="1:30" x14ac:dyDescent="0.2">
      <c r="A102" s="374"/>
      <c r="B102" s="672"/>
      <c r="C102" s="672"/>
      <c r="D102" s="373" t="s">
        <v>981</v>
      </c>
      <c r="E102" s="373"/>
      <c r="F102" s="372">
        <f>IF(AND(D84=0,D90=0),"keine Amortisation",H101)</f>
        <v>2.2583682008368199E-2</v>
      </c>
      <c r="G102" s="429" cm="1">
        <f t="array" ref="G102:H102">IF(AND(D84=0,D90=0),"keine Amortisation",F102*'Ausgabe Standortbewertung'!B94:C94)</f>
        <v>135.5020920502092</v>
      </c>
      <c r="H102" s="419">
        <v>0</v>
      </c>
      <c r="I102" s="419" t="str">
        <f>L44</f>
        <v>Versilbert</v>
      </c>
      <c r="J102" s="448">
        <f>ROUND('Berechnung-WÜ-Material'!L205,0)</f>
        <v>14668</v>
      </c>
      <c r="K102" s="448">
        <f>ROUND('Berechnung-WÜ-Material'!M203,0)</f>
        <v>28093</v>
      </c>
      <c r="L102" s="449">
        <f>'Berechnung-WÜ-Material'!O205</f>
        <v>-5266.5907990425058</v>
      </c>
      <c r="M102" s="449">
        <f>'Berechnung-WÜ-Material'!P203</f>
        <v>7424.2144946581629</v>
      </c>
      <c r="N102" s="419"/>
      <c r="O102" s="448">
        <f>ROUND('Berechnung-WÜ-Material'!K205,0)</f>
        <v>2766</v>
      </c>
      <c r="P102" s="448">
        <f>ROUND('Berechnung-WÜ-Material'!K203,0)</f>
        <v>6801</v>
      </c>
      <c r="Q102" s="449">
        <f>ROUND('Berechnung-WÜ-Material'!N205,0)</f>
        <v>3293</v>
      </c>
      <c r="R102" s="449">
        <f>ROUND('Berechnung-WÜ-Material'!N203,0)</f>
        <v>8097</v>
      </c>
      <c r="S102" s="419"/>
      <c r="T102" s="448">
        <f>ROUND('Berechnung-WÜ-Material'!L205,0)</f>
        <v>14668</v>
      </c>
      <c r="U102" s="448">
        <f>ROUND('Berechnung-WÜ-Material'!L203,0)</f>
        <v>18703</v>
      </c>
      <c r="V102" s="449">
        <f>ROUND('Berechnung-WÜ-Material'!O205,0)</f>
        <v>-5267</v>
      </c>
      <c r="W102" s="449">
        <f>ROUND('Berechnung-WÜ-Material'!O203,0)</f>
        <v>7721</v>
      </c>
      <c r="X102" s="419"/>
      <c r="Y102" s="448">
        <f>ROUND('Berechnung-WÜ-Material'!M205,0)</f>
        <v>24058</v>
      </c>
      <c r="Z102" s="448">
        <f>ROUND('Berechnung-WÜ-Material'!M203,0)</f>
        <v>28093</v>
      </c>
      <c r="AA102" s="449">
        <f>ROUND('Berechnung-WÜ-Material'!P205,0)</f>
        <v>-12019</v>
      </c>
      <c r="AB102" s="449">
        <f>ROUND('Berechnung-WÜ-Material'!P203,0)</f>
        <v>7424</v>
      </c>
      <c r="AC102" s="244"/>
      <c r="AD102" s="244"/>
    </row>
    <row r="103" spans="1:30" x14ac:dyDescent="0.2">
      <c r="A103" s="374"/>
      <c r="B103" s="672"/>
      <c r="C103" s="672"/>
      <c r="D103" s="674" t="str">
        <f>IF(F102&lt;10,"Beschichtung wird empfhohlen",IF(F102&lt;=20,"Beschichtung möglich",IF(F102&gt;20,"Beschichtung nicht wirtschaftlich")))</f>
        <v>Beschichtung wird empfhohlen</v>
      </c>
      <c r="E103" s="675"/>
      <c r="F103" s="675"/>
      <c r="G103" s="676"/>
      <c r="H103" s="419"/>
      <c r="I103" s="419" t="str">
        <f>M44</f>
        <v>Ceramic Smooth Hydrophobic-1</v>
      </c>
      <c r="J103" s="448">
        <f>ROUND('Berechnung-WÜ-Material'!T205,0)</f>
        <v>13875</v>
      </c>
      <c r="K103" s="448">
        <f>ROUND('Berechnung-WÜ-Material'!U203,0)</f>
        <v>28024</v>
      </c>
      <c r="L103" s="449">
        <f>'Berechnung-WÜ-Material'!W205</f>
        <v>-7820.3826935180914</v>
      </c>
      <c r="M103" s="449">
        <f>'Berechnung-WÜ-Material'!X203</f>
        <v>7089.5579314209699</v>
      </c>
      <c r="N103" s="419"/>
      <c r="O103" s="448">
        <f>ROUND('Berechnung-WÜ-Material'!S205,0)</f>
        <v>1973</v>
      </c>
      <c r="P103" s="448">
        <f>ROUND('Berechnung-WÜ-Material'!S203,0)</f>
        <v>6732</v>
      </c>
      <c r="Q103" s="449">
        <f>ROUND('Berechnung-WÜ-Material'!V205,0)</f>
        <v>2348</v>
      </c>
      <c r="R103" s="449">
        <f>ROUND('Berechnung-WÜ-Material'!V203,0)</f>
        <v>8014</v>
      </c>
      <c r="S103" s="419"/>
      <c r="T103" s="448">
        <f>ROUND('Berechnung-WÜ-Material'!T205,0)</f>
        <v>13875</v>
      </c>
      <c r="U103" s="448">
        <f>ROUND('Berechnung-WÜ-Material'!T203,0)</f>
        <v>18634</v>
      </c>
      <c r="V103" s="449">
        <f>ROUND('Berechnung-WÜ-Material'!W205,0)</f>
        <v>-7820</v>
      </c>
      <c r="W103" s="449">
        <f>ROUND('Berechnung-WÜ-Material'!W203,0)</f>
        <v>7497</v>
      </c>
      <c r="X103" s="419"/>
      <c r="Y103" s="448">
        <f>ROUND('Berechnung-WÜ-Material'!U205,0)</f>
        <v>23264</v>
      </c>
      <c r="Z103" s="448">
        <f>ROUND('Berechnung-WÜ-Material'!U203,0)</f>
        <v>28024</v>
      </c>
      <c r="AA103" s="449">
        <f>ROUND('Berechnung-WÜ-Material'!X205,0)</f>
        <v>-15843</v>
      </c>
      <c r="AB103" s="449">
        <f>ROUND('Berechnung-WÜ-Material'!X203,0)</f>
        <v>7090</v>
      </c>
      <c r="AC103" s="244"/>
      <c r="AD103" s="244"/>
    </row>
    <row r="104" spans="1:30" ht="12.75" customHeight="1" x14ac:dyDescent="0.2">
      <c r="A104" s="374"/>
      <c r="B104" s="672" t="str">
        <f>B40</f>
        <v>Ceramic Smooth Hydrophobic-1</v>
      </c>
      <c r="C104" s="672"/>
      <c r="D104" s="650" t="s">
        <v>983</v>
      </c>
      <c r="E104" s="650"/>
      <c r="F104" s="371" t="str">
        <f>IF(I40&lt;&gt;0,"Wert verfügbar","Kein Wert verfügbar")</f>
        <v>Kein Wert verfügbar</v>
      </c>
      <c r="G104" s="417" t="str">
        <f>IF(I40&lt;&gt;0,I40,"")</f>
        <v/>
      </c>
      <c r="H104" s="419"/>
      <c r="I104" s="419"/>
      <c r="J104" s="419"/>
      <c r="K104" s="419"/>
      <c r="L104" s="419"/>
      <c r="M104" s="419"/>
      <c r="N104" s="419"/>
      <c r="O104" s="419"/>
      <c r="P104" s="419"/>
      <c r="Q104" s="419"/>
      <c r="R104" s="419"/>
      <c r="S104" s="419"/>
      <c r="T104" s="419"/>
      <c r="U104" s="419"/>
      <c r="V104" s="419"/>
      <c r="W104" s="419"/>
      <c r="X104" s="419"/>
      <c r="Y104" s="419"/>
      <c r="Z104" s="419"/>
      <c r="AA104" s="419"/>
      <c r="AB104" s="419"/>
      <c r="AC104" s="244"/>
      <c r="AD104" s="244"/>
    </row>
    <row r="105" spans="1:30" x14ac:dyDescent="0.2">
      <c r="A105" s="374"/>
      <c r="B105" s="672"/>
      <c r="C105" s="672"/>
      <c r="D105" s="650" t="s">
        <v>982</v>
      </c>
      <c r="E105" s="650"/>
      <c r="F105" s="673">
        <v>1000</v>
      </c>
      <c r="G105" s="669"/>
      <c r="H105" s="448">
        <f>-(F105*D11)/SUM(D85,D91)</f>
        <v>0.23743016759776536</v>
      </c>
      <c r="I105" s="419"/>
      <c r="J105" s="419"/>
      <c r="K105" s="419"/>
      <c r="L105" s="419"/>
      <c r="M105" s="419"/>
      <c r="N105" s="419"/>
      <c r="O105" s="419"/>
      <c r="P105" s="419"/>
      <c r="Q105" s="419"/>
      <c r="R105" s="419"/>
      <c r="S105" s="419"/>
      <c r="T105" s="419"/>
      <c r="U105" s="419"/>
      <c r="V105" s="419"/>
      <c r="W105" s="419"/>
      <c r="X105" s="419"/>
      <c r="Y105" s="419"/>
      <c r="Z105" s="419"/>
      <c r="AA105" s="419"/>
      <c r="AB105" s="419"/>
      <c r="AC105" s="244"/>
      <c r="AD105" s="244"/>
    </row>
    <row r="106" spans="1:30" x14ac:dyDescent="0.2">
      <c r="A106" s="374"/>
      <c r="B106" s="672"/>
      <c r="C106" s="672"/>
      <c r="D106" s="373" t="s">
        <v>981</v>
      </c>
      <c r="E106" s="373"/>
      <c r="F106" s="372">
        <f>IF(AND(D85=0,D91=0),"keine Amortisation",H105)</f>
        <v>0.23743016759776536</v>
      </c>
      <c r="G106" s="429" cm="1">
        <f t="array" ref="G106:H106">IF(AND(D85=0,D91=0),"keine Amortisation",F106*'Ausgabe Standortbewertung'!B94:C94)</f>
        <v>1424.5810055865923</v>
      </c>
      <c r="H106" s="419">
        <v>0</v>
      </c>
      <c r="I106" s="419"/>
      <c r="J106" s="419"/>
      <c r="K106" s="419"/>
      <c r="L106" s="419"/>
      <c r="M106" s="419"/>
      <c r="N106" s="419"/>
      <c r="O106" s="419"/>
      <c r="P106" s="419"/>
      <c r="Q106" s="419"/>
      <c r="R106" s="419"/>
      <c r="S106" s="419"/>
      <c r="T106" s="419"/>
      <c r="U106" s="419"/>
      <c r="V106" s="419"/>
      <c r="W106" s="419"/>
      <c r="X106" s="419"/>
      <c r="Y106" s="419"/>
      <c r="Z106" s="419"/>
      <c r="AA106" s="419"/>
      <c r="AB106" s="419"/>
      <c r="AC106" s="244"/>
      <c r="AD106" s="244"/>
    </row>
    <row r="107" spans="1:30" x14ac:dyDescent="0.2">
      <c r="A107" s="374"/>
      <c r="B107" s="672"/>
      <c r="C107" s="672"/>
      <c r="D107" s="677" t="str">
        <f>IF(F106&lt;10,"Beschichtung wird empfhohlen",IF(F106&lt;=20,"Beschichtung möglich",IF(F106&gt;20,"Beschichtung nicht wirtschaftlich")))</f>
        <v>Beschichtung wird empfhohlen</v>
      </c>
      <c r="E107" s="677"/>
      <c r="F107" s="677"/>
      <c r="G107" s="677"/>
      <c r="H107" s="419"/>
      <c r="I107" s="419"/>
      <c r="J107" s="419"/>
      <c r="K107" s="419"/>
      <c r="L107" s="419"/>
      <c r="M107" s="419"/>
      <c r="N107" s="419"/>
      <c r="O107" s="419"/>
      <c r="P107" s="419"/>
      <c r="Q107" s="419"/>
      <c r="R107" s="419"/>
      <c r="S107" s="419"/>
      <c r="T107" s="419"/>
      <c r="U107" s="419"/>
      <c r="V107" s="419"/>
      <c r="W107" s="419"/>
      <c r="X107" s="419"/>
      <c r="Y107" s="419"/>
      <c r="Z107" s="419"/>
      <c r="AA107" s="419"/>
      <c r="AB107" s="419"/>
      <c r="AC107" s="244"/>
      <c r="AD107" s="244"/>
    </row>
    <row r="108" spans="1:30" x14ac:dyDescent="0.2">
      <c r="A108" s="374"/>
      <c r="B108" s="374"/>
      <c r="C108" s="374"/>
      <c r="D108" s="374"/>
      <c r="E108" s="374"/>
      <c r="F108" s="374"/>
      <c r="G108" s="374"/>
      <c r="H108" s="419"/>
      <c r="I108" s="419"/>
      <c r="J108" s="419"/>
      <c r="K108" s="419"/>
      <c r="L108" s="419"/>
      <c r="M108" s="419"/>
      <c r="N108" s="419"/>
      <c r="O108" s="419"/>
      <c r="P108" s="419"/>
      <c r="Q108" s="419"/>
      <c r="R108" s="419"/>
      <c r="S108" s="419"/>
      <c r="T108" s="419"/>
      <c r="U108" s="419"/>
      <c r="V108" s="419"/>
      <c r="W108" s="419"/>
      <c r="X108" s="419"/>
      <c r="Y108" s="419"/>
      <c r="Z108" s="419"/>
      <c r="AA108" s="419"/>
      <c r="AB108" s="419"/>
      <c r="AC108" s="244"/>
      <c r="AD108" s="244"/>
    </row>
    <row r="109" spans="1:30" x14ac:dyDescent="0.2">
      <c r="A109" s="374"/>
      <c r="B109" s="374"/>
      <c r="C109" s="374"/>
      <c r="D109" s="374"/>
      <c r="E109" s="374"/>
      <c r="F109" s="374"/>
      <c r="G109" s="374"/>
      <c r="H109" s="419"/>
      <c r="I109" s="419"/>
      <c r="J109" s="419"/>
      <c r="K109" s="419"/>
      <c r="L109" s="419"/>
      <c r="M109" s="419"/>
      <c r="N109" s="419"/>
      <c r="O109" s="419"/>
      <c r="P109" s="419"/>
      <c r="Q109" s="419"/>
      <c r="R109" s="419"/>
      <c r="S109" s="419"/>
      <c r="T109" s="419"/>
      <c r="U109" s="419"/>
      <c r="V109" s="419"/>
      <c r="W109" s="419"/>
      <c r="X109" s="419"/>
      <c r="Y109" s="419"/>
      <c r="Z109" s="419"/>
      <c r="AA109" s="419"/>
      <c r="AB109" s="419"/>
      <c r="AC109" s="244"/>
      <c r="AD109" s="244"/>
    </row>
    <row r="110" spans="1:30" x14ac:dyDescent="0.2">
      <c r="A110" s="374"/>
      <c r="B110" s="374"/>
      <c r="C110" s="374"/>
      <c r="D110" s="374"/>
      <c r="E110" s="374"/>
      <c r="F110" s="374"/>
      <c r="G110" s="374"/>
      <c r="H110" s="379"/>
      <c r="I110" s="379"/>
      <c r="J110" s="379"/>
      <c r="K110" s="379"/>
      <c r="L110" s="379"/>
      <c r="M110" s="379"/>
      <c r="N110" s="379"/>
      <c r="O110" s="379"/>
      <c r="P110" s="379"/>
      <c r="Q110" s="379"/>
      <c r="R110" s="379"/>
      <c r="S110" s="379"/>
      <c r="T110" s="379"/>
      <c r="U110" s="379"/>
      <c r="V110" s="379"/>
      <c r="W110" s="379"/>
      <c r="X110" s="379"/>
      <c r="Y110" s="379"/>
      <c r="Z110" s="379"/>
      <c r="AA110" s="379"/>
      <c r="AB110" s="379"/>
    </row>
    <row r="111" spans="1:30" x14ac:dyDescent="0.2">
      <c r="A111" s="374"/>
      <c r="B111" s="374"/>
      <c r="C111" s="374"/>
      <c r="D111" s="374"/>
      <c r="E111" s="374"/>
      <c r="F111" s="374"/>
      <c r="G111" s="374"/>
      <c r="H111" s="379"/>
      <c r="I111" s="379"/>
      <c r="J111" s="379"/>
      <c r="K111" s="379"/>
      <c r="L111" s="379"/>
      <c r="M111" s="379"/>
      <c r="N111" s="379"/>
      <c r="O111" s="379"/>
      <c r="P111" s="379"/>
      <c r="Q111" s="379"/>
      <c r="R111" s="379"/>
      <c r="S111" s="379"/>
      <c r="T111" s="379"/>
      <c r="U111" s="379"/>
      <c r="V111" s="379"/>
      <c r="W111" s="379"/>
      <c r="X111" s="379"/>
      <c r="Y111" s="379"/>
      <c r="Z111" s="379"/>
      <c r="AA111" s="379"/>
      <c r="AB111" s="379"/>
    </row>
    <row r="112" spans="1:30" x14ac:dyDescent="0.2">
      <c r="A112" s="374"/>
      <c r="B112" s="374"/>
      <c r="C112" s="374"/>
      <c r="D112" s="374"/>
      <c r="E112" s="374"/>
      <c r="F112" s="374"/>
      <c r="G112" s="374"/>
      <c r="H112" s="427"/>
      <c r="I112" s="427"/>
      <c r="J112" s="374"/>
      <c r="K112" s="374"/>
      <c r="L112" s="374"/>
      <c r="M112" s="374"/>
      <c r="N112" s="374"/>
      <c r="O112" s="374"/>
      <c r="P112" s="374"/>
      <c r="Q112" s="374"/>
      <c r="R112" s="374"/>
      <c r="S112" s="374"/>
      <c r="T112" s="374"/>
      <c r="U112" s="374"/>
      <c r="V112" s="374"/>
    </row>
    <row r="113" spans="1:22" x14ac:dyDescent="0.2">
      <c r="A113" s="374"/>
      <c r="B113" s="374"/>
      <c r="C113" s="374"/>
      <c r="D113" s="374"/>
      <c r="E113" s="374"/>
      <c r="F113" s="374"/>
      <c r="G113" s="374"/>
      <c r="H113" s="427"/>
      <c r="I113" s="427"/>
      <c r="J113" s="374"/>
      <c r="K113" s="374"/>
      <c r="L113" s="374"/>
      <c r="M113" s="374"/>
      <c r="N113" s="374"/>
      <c r="O113" s="374"/>
      <c r="P113" s="374"/>
      <c r="Q113" s="374"/>
      <c r="R113" s="374"/>
      <c r="S113" s="374"/>
      <c r="T113" s="374"/>
      <c r="U113" s="374"/>
      <c r="V113" s="374"/>
    </row>
    <row r="114" spans="1:22" x14ac:dyDescent="0.2">
      <c r="A114" s="374"/>
      <c r="B114" s="374"/>
      <c r="C114" s="374"/>
      <c r="D114" s="374"/>
      <c r="E114" s="374"/>
      <c r="F114" s="374"/>
      <c r="G114" s="374"/>
      <c r="H114" s="427"/>
      <c r="I114" s="427"/>
      <c r="J114" s="374"/>
      <c r="K114" s="374"/>
      <c r="L114" s="374"/>
      <c r="M114" s="374"/>
      <c r="N114" s="374"/>
      <c r="O114" s="374"/>
      <c r="P114" s="374"/>
      <c r="Q114" s="374"/>
      <c r="R114" s="374"/>
      <c r="S114" s="374"/>
      <c r="T114" s="374"/>
      <c r="U114" s="374"/>
      <c r="V114" s="374"/>
    </row>
    <row r="115" spans="1:22" x14ac:dyDescent="0.2">
      <c r="A115" s="374"/>
      <c r="B115" s="374"/>
      <c r="C115" s="374"/>
      <c r="D115" s="374"/>
      <c r="E115" s="374"/>
      <c r="F115" s="374"/>
      <c r="G115" s="374"/>
      <c r="H115" s="427"/>
      <c r="I115" s="427"/>
      <c r="J115" s="374"/>
      <c r="K115" s="374"/>
      <c r="L115" s="374"/>
      <c r="M115" s="374"/>
      <c r="N115" s="374"/>
      <c r="O115" s="374"/>
      <c r="P115" s="374"/>
      <c r="Q115" s="374"/>
      <c r="R115" s="374"/>
      <c r="S115" s="374"/>
      <c r="T115" s="374"/>
      <c r="U115" s="374"/>
      <c r="V115" s="374"/>
    </row>
    <row r="116" spans="1:22" x14ac:dyDescent="0.2">
      <c r="A116" s="374"/>
      <c r="B116" s="374"/>
      <c r="C116" s="374"/>
      <c r="D116" s="374"/>
      <c r="E116" s="374"/>
      <c r="F116" s="374"/>
      <c r="G116" s="374"/>
      <c r="H116" s="374"/>
      <c r="I116" s="374"/>
      <c r="J116" s="374"/>
      <c r="K116" s="374"/>
      <c r="L116" s="374"/>
      <c r="M116" s="374"/>
      <c r="N116" s="374"/>
      <c r="O116" s="374"/>
      <c r="P116" s="374"/>
      <c r="Q116" s="374"/>
      <c r="R116" s="374"/>
      <c r="S116" s="374"/>
      <c r="T116" s="374"/>
      <c r="U116" s="374"/>
      <c r="V116" s="374"/>
    </row>
    <row r="117" spans="1:22" x14ac:dyDescent="0.2">
      <c r="A117" s="374"/>
      <c r="B117" s="374"/>
      <c r="C117" s="374"/>
      <c r="D117" s="374"/>
      <c r="E117" s="374"/>
      <c r="F117" s="374"/>
      <c r="G117" s="374"/>
      <c r="H117" s="374"/>
      <c r="I117" s="374"/>
      <c r="J117" s="374"/>
      <c r="K117" s="374"/>
      <c r="L117" s="374"/>
      <c r="M117" s="374"/>
      <c r="N117" s="374"/>
      <c r="O117" s="374"/>
      <c r="P117" s="374"/>
      <c r="Q117" s="374"/>
      <c r="R117" s="374"/>
      <c r="S117" s="374"/>
      <c r="T117" s="374"/>
      <c r="U117" s="374"/>
      <c r="V117" s="374"/>
    </row>
    <row r="118" spans="1:22" x14ac:dyDescent="0.2">
      <c r="B118" s="378"/>
      <c r="C118" s="374"/>
      <c r="D118" s="374"/>
      <c r="E118" s="374"/>
      <c r="F118" s="374"/>
      <c r="G118" s="374"/>
      <c r="H118" s="374"/>
      <c r="I118" s="374"/>
      <c r="J118" s="374"/>
      <c r="K118" s="374"/>
      <c r="L118" s="374"/>
      <c r="M118" s="374"/>
      <c r="N118" s="374"/>
      <c r="O118" s="374"/>
      <c r="P118" s="374"/>
      <c r="Q118" s="374"/>
      <c r="R118" s="374"/>
      <c r="S118" s="374"/>
      <c r="T118" s="374"/>
      <c r="U118" s="374"/>
      <c r="V118" s="374"/>
    </row>
  </sheetData>
  <sheetProtection algorithmName="SHA-512" hashValue="Umq3QJaQ9cJe1oBB7XNHgytqOSbjD2kBxtwBKGOGZ0p11d2sTasRDekPk343vZNR75WT9kuoNQaeW1T2MzlfLA==" saltValue="bT55HoykHFe0aYnR1qpj+w==" spinCount="100000" sheet="1" objects="1" scenarios="1" selectLockedCells="1"/>
  <mergeCells count="106">
    <mergeCell ref="Q99:R99"/>
    <mergeCell ref="T93:U93"/>
    <mergeCell ref="V93:W93"/>
    <mergeCell ref="J63:M63"/>
    <mergeCell ref="J72:M72"/>
    <mergeCell ref="O92:R92"/>
    <mergeCell ref="T92:W92"/>
    <mergeCell ref="D87:E87"/>
    <mergeCell ref="F87:G87"/>
    <mergeCell ref="O43:R43"/>
    <mergeCell ref="B42:G43"/>
    <mergeCell ref="B45:G49"/>
    <mergeCell ref="J52:M52"/>
    <mergeCell ref="J43:M43"/>
    <mergeCell ref="D79:G79"/>
    <mergeCell ref="B81:C82"/>
    <mergeCell ref="B73:I74"/>
    <mergeCell ref="B76:G77"/>
    <mergeCell ref="D81:E81"/>
    <mergeCell ref="F81:G81"/>
    <mergeCell ref="B83:C83"/>
    <mergeCell ref="B84:C84"/>
    <mergeCell ref="B85:C85"/>
    <mergeCell ref="B87:C88"/>
    <mergeCell ref="B79:C79"/>
    <mergeCell ref="B33:G34"/>
    <mergeCell ref="B36:C37"/>
    <mergeCell ref="D36:D37"/>
    <mergeCell ref="E36:E37"/>
    <mergeCell ref="F36:F37"/>
    <mergeCell ref="G36:G37"/>
    <mergeCell ref="B39:C39"/>
    <mergeCell ref="Y43:AB43"/>
    <mergeCell ref="O52:R52"/>
    <mergeCell ref="T52:W52"/>
    <mergeCell ref="Y52:AB52"/>
    <mergeCell ref="T43:W43"/>
    <mergeCell ref="B40:C40"/>
    <mergeCell ref="B13:G14"/>
    <mergeCell ref="B16:C16"/>
    <mergeCell ref="D16:E16"/>
    <mergeCell ref="F16:G16"/>
    <mergeCell ref="B17:C17"/>
    <mergeCell ref="D17:E17"/>
    <mergeCell ref="B51:C51"/>
    <mergeCell ref="D51:G51"/>
    <mergeCell ref="F17:G17"/>
    <mergeCell ref="B25:C26"/>
    <mergeCell ref="D19:G20"/>
    <mergeCell ref="B19:C20"/>
    <mergeCell ref="B22:G23"/>
    <mergeCell ref="D25:D26"/>
    <mergeCell ref="G25:G26"/>
    <mergeCell ref="B27:C27"/>
    <mergeCell ref="B28:C28"/>
    <mergeCell ref="B29:C29"/>
    <mergeCell ref="B30:C30"/>
    <mergeCell ref="E25:E26"/>
    <mergeCell ref="F25:F26"/>
    <mergeCell ref="B31:C31"/>
    <mergeCell ref="B38:C38"/>
    <mergeCell ref="B1:G2"/>
    <mergeCell ref="E3:G3"/>
    <mergeCell ref="B9:C9"/>
    <mergeCell ref="B10:C10"/>
    <mergeCell ref="B11:C11"/>
    <mergeCell ref="E9:F9"/>
    <mergeCell ref="E10:F10"/>
    <mergeCell ref="B3:D3"/>
    <mergeCell ref="B5:G6"/>
    <mergeCell ref="D8:G8"/>
    <mergeCell ref="B8:C8"/>
    <mergeCell ref="B89:C89"/>
    <mergeCell ref="B90:C90"/>
    <mergeCell ref="B91:C91"/>
    <mergeCell ref="J92:M92"/>
    <mergeCell ref="T99:U99"/>
    <mergeCell ref="V99:W99"/>
    <mergeCell ref="Y93:Z93"/>
    <mergeCell ref="AA93:AB93"/>
    <mergeCell ref="Y99:Z99"/>
    <mergeCell ref="AA99:AB99"/>
    <mergeCell ref="D97:E97"/>
    <mergeCell ref="D99:G99"/>
    <mergeCell ref="F97:G97"/>
    <mergeCell ref="J93:K93"/>
    <mergeCell ref="L93:M93"/>
    <mergeCell ref="J99:K99"/>
    <mergeCell ref="L99:M99"/>
    <mergeCell ref="B93:G94"/>
    <mergeCell ref="D96:E96"/>
    <mergeCell ref="B96:C99"/>
    <mergeCell ref="Y92:AB92"/>
    <mergeCell ref="O93:P93"/>
    <mergeCell ref="Q93:R93"/>
    <mergeCell ref="O99:P99"/>
    <mergeCell ref="B100:C103"/>
    <mergeCell ref="D100:E100"/>
    <mergeCell ref="D101:E101"/>
    <mergeCell ref="F101:G101"/>
    <mergeCell ref="D103:G103"/>
    <mergeCell ref="B104:C107"/>
    <mergeCell ref="D104:E104"/>
    <mergeCell ref="D105:E105"/>
    <mergeCell ref="F105:G105"/>
    <mergeCell ref="D107:G107"/>
  </mergeCells>
  <conditionalFormatting sqref="B30:G30">
    <cfRule type="expression" dxfId="92" priority="20">
      <formula>$G$30=0</formula>
    </cfRule>
  </conditionalFormatting>
  <conditionalFormatting sqref="B31:G31">
    <cfRule type="expression" dxfId="91" priority="19">
      <formula>$G$31=0</formula>
    </cfRule>
  </conditionalFormatting>
  <conditionalFormatting sqref="D99:G99">
    <cfRule type="expression" dxfId="90" priority="16">
      <formula>$D$99="Beschichtung möglich"</formula>
    </cfRule>
    <cfRule type="expression" dxfId="89" priority="17">
      <formula>($D$99="Beschichtung wird empfhohlen")</formula>
    </cfRule>
  </conditionalFormatting>
  <conditionalFormatting sqref="D103:G103 D99:G99">
    <cfRule type="expression" dxfId="88" priority="15">
      <formula>$D$99="Beschichtung nicht wirtschaftlich"</formula>
    </cfRule>
  </conditionalFormatting>
  <conditionalFormatting sqref="D103:G103">
    <cfRule type="expression" dxfId="87" priority="12">
      <formula>$D$103="Beschichtung nicht wirtschaftlich"</formula>
    </cfRule>
    <cfRule type="expression" dxfId="86" priority="13">
      <formula>$D$103="Beschichtung möglich"</formula>
    </cfRule>
    <cfRule type="expression" dxfId="85" priority="14">
      <formula>$D$103="Beschichtung wird empfhohlen"</formula>
    </cfRule>
  </conditionalFormatting>
  <conditionalFormatting sqref="D107:G107">
    <cfRule type="expression" dxfId="84" priority="9">
      <formula>$D$107="Beschichtung nicht wirtschaftlich"</formula>
    </cfRule>
    <cfRule type="expression" dxfId="83" priority="10">
      <formula>$D$107="Beschichtung möglich"</formula>
    </cfRule>
    <cfRule type="expression" dxfId="82" priority="11">
      <formula>$D$107="Beschichtung wird empfhohlen"</formula>
    </cfRule>
  </conditionalFormatting>
  <conditionalFormatting sqref="F96">
    <cfRule type="expression" dxfId="81" priority="7">
      <formula>$F$96="Kein Wert verfügbar"</formula>
    </cfRule>
    <cfRule type="expression" dxfId="80" priority="8">
      <formula>$F$96="Wert verfügbar"</formula>
    </cfRule>
  </conditionalFormatting>
  <conditionalFormatting sqref="F100">
    <cfRule type="expression" dxfId="79" priority="5">
      <formula>$F$100="Wert verfügbar"</formula>
    </cfRule>
    <cfRule type="expression" dxfId="78" priority="6">
      <formula>$F$100="Kein Wert verfügbar"</formula>
    </cfRule>
  </conditionalFormatting>
  <conditionalFormatting sqref="F104">
    <cfRule type="expression" dxfId="77" priority="4">
      <formula>$F$104="Wert verfügbar"</formula>
    </cfRule>
  </conditionalFormatting>
  <conditionalFormatting sqref="F104:G104">
    <cfRule type="expression" dxfId="76" priority="1">
      <formula>$F$104="Kein Wert verfügbar"</formula>
    </cfRule>
  </conditionalFormatting>
  <conditionalFormatting sqref="G100">
    <cfRule type="expression" dxfId="75" priority="2">
      <formula>$F$100="Kein Wert verfügbar"</formula>
    </cfRule>
  </conditionalFormatting>
  <pageMargins left="0.7" right="0.7" top="0.78740157499999996" bottom="0.78740157499999996" header="0.3" footer="0.3"/>
  <pageSetup paperSize="8" scale="48"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C7D099B-A151-4BCB-87FE-66B0D70C9517}">
          <x14:formula1>
            <xm:f>'Daten-Materialien'!$AB$2:$AB$238</xm:f>
          </x14:formula1>
          <xm:sqref>B38:C40</xm:sqref>
        </x14:dataValidation>
        <x14:dataValidation type="list" allowBlank="1" showInputMessage="1" showErrorMessage="1" xr:uid="{04833058-BE18-46B6-8825-5D241C64C27C}">
          <x14:formula1>
            <xm:f>Zwischenrechnungen!$A$40:$A$43</xm:f>
          </x14:formula1>
          <xm:sqref>D51:G51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BED7-87A7-4EC6-A8D0-76D4E2D63A21}">
  <sheetPr>
    <tabColor rgb="FFFFFF6D"/>
  </sheetPr>
  <dimension ref="A1:AV87"/>
  <sheetViews>
    <sheetView zoomScaleNormal="100" workbookViewId="0">
      <selection activeCell="B4" sqref="B4"/>
    </sheetView>
  </sheetViews>
  <sheetFormatPr baseColWidth="10" defaultRowHeight="12.75" x14ac:dyDescent="0.2"/>
  <cols>
    <col min="1" max="1" width="16.28515625" customWidth="1"/>
    <col min="31" max="35" width="11.42578125" style="438"/>
    <col min="36" max="36" width="10.85546875" style="438" customWidth="1"/>
    <col min="37" max="48" width="11.42578125" style="438"/>
  </cols>
  <sheetData>
    <row r="1" spans="1:30" ht="12.75" customHeight="1" x14ac:dyDescent="0.2">
      <c r="A1" s="117"/>
      <c r="B1" s="687" t="s">
        <v>291</v>
      </c>
      <c r="C1" s="687"/>
      <c r="D1" s="687"/>
      <c r="E1" s="687"/>
      <c r="F1" s="687"/>
      <c r="G1" s="687"/>
      <c r="H1" s="687"/>
      <c r="I1" s="687"/>
      <c r="J1" s="687"/>
      <c r="K1" s="687"/>
      <c r="L1" s="687"/>
      <c r="M1" s="687"/>
      <c r="N1" s="687"/>
      <c r="O1" s="687"/>
      <c r="P1" s="687"/>
      <c r="Q1" s="687"/>
      <c r="R1" s="687"/>
      <c r="S1" s="687"/>
      <c r="T1" s="687"/>
      <c r="U1" s="687"/>
      <c r="V1" s="687"/>
      <c r="W1" s="687"/>
      <c r="X1" s="687"/>
      <c r="Y1" s="687"/>
      <c r="Z1" s="117"/>
      <c r="AA1" s="117"/>
      <c r="AB1" s="117"/>
      <c r="AC1" s="117"/>
      <c r="AD1" s="117"/>
    </row>
    <row r="2" spans="1:30" ht="12.75" customHeight="1" x14ac:dyDescent="0.2">
      <c r="A2" s="117"/>
      <c r="B2" s="687"/>
      <c r="C2" s="687"/>
      <c r="D2" s="687"/>
      <c r="E2" s="687"/>
      <c r="F2" s="687"/>
      <c r="G2" s="687"/>
      <c r="H2" s="687"/>
      <c r="I2" s="687"/>
      <c r="J2" s="687"/>
      <c r="K2" s="687"/>
      <c r="L2" s="687"/>
      <c r="M2" s="687"/>
      <c r="N2" s="687"/>
      <c r="O2" s="687"/>
      <c r="P2" s="687"/>
      <c r="Q2" s="687"/>
      <c r="R2" s="687"/>
      <c r="S2" s="687"/>
      <c r="T2" s="687"/>
      <c r="U2" s="687"/>
      <c r="V2" s="687"/>
      <c r="W2" s="687"/>
      <c r="X2" s="687"/>
      <c r="Y2" s="687"/>
      <c r="Z2" s="117"/>
      <c r="AA2" s="117"/>
      <c r="AB2" s="117"/>
      <c r="AC2" s="117"/>
      <c r="AD2" s="117"/>
    </row>
    <row r="3" spans="1:30" x14ac:dyDescent="0.2">
      <c r="A3" s="117"/>
      <c r="B3" s="170" t="s">
        <v>314</v>
      </c>
      <c r="C3" s="170" t="s">
        <v>292</v>
      </c>
      <c r="D3" s="170" t="s">
        <v>301</v>
      </c>
      <c r="E3" s="170" t="s">
        <v>293</v>
      </c>
      <c r="F3" s="170" t="s">
        <v>302</v>
      </c>
      <c r="G3" s="170" t="s">
        <v>294</v>
      </c>
      <c r="H3" s="170" t="s">
        <v>295</v>
      </c>
      <c r="I3" s="170" t="s">
        <v>296</v>
      </c>
      <c r="J3" s="170" t="s">
        <v>303</v>
      </c>
      <c r="K3" s="170" t="s">
        <v>297</v>
      </c>
      <c r="L3" s="170" t="s">
        <v>298</v>
      </c>
      <c r="M3" s="170" t="s">
        <v>304</v>
      </c>
      <c r="N3" s="170" t="s">
        <v>325</v>
      </c>
      <c r="O3" s="170" t="s">
        <v>305</v>
      </c>
      <c r="P3" s="170" t="s">
        <v>306</v>
      </c>
      <c r="Q3" s="170" t="s">
        <v>307</v>
      </c>
      <c r="R3" s="170" t="s">
        <v>308</v>
      </c>
      <c r="S3" s="170" t="s">
        <v>309</v>
      </c>
      <c r="T3" s="170" t="s">
        <v>310</v>
      </c>
      <c r="U3" s="170" t="s">
        <v>311</v>
      </c>
      <c r="V3" s="170" t="s">
        <v>312</v>
      </c>
      <c r="W3" s="170" t="s">
        <v>299</v>
      </c>
      <c r="X3" s="170" t="s">
        <v>300</v>
      </c>
      <c r="Y3" s="170" t="s">
        <v>313</v>
      </c>
      <c r="Z3" s="117"/>
      <c r="AA3" s="117"/>
      <c r="AB3" s="117"/>
      <c r="AC3" s="117"/>
      <c r="AD3" s="117"/>
    </row>
    <row r="4" spans="1:30" x14ac:dyDescent="0.2">
      <c r="A4" s="170" t="s">
        <v>315</v>
      </c>
      <c r="B4" s="511">
        <v>-99</v>
      </c>
      <c r="C4" s="511">
        <v>3.4790999999999999</v>
      </c>
      <c r="D4" s="511">
        <v>4.4009999999999998</v>
      </c>
      <c r="E4" s="511">
        <v>3.3639999999999999</v>
      </c>
      <c r="F4" s="511">
        <v>-2.1012</v>
      </c>
      <c r="G4" s="511">
        <v>-10.3104</v>
      </c>
      <c r="H4" s="511">
        <v>-0.10539999999999999</v>
      </c>
      <c r="I4" s="511">
        <v>7.0105000000000004</v>
      </c>
      <c r="J4" s="511">
        <v>16.8614</v>
      </c>
      <c r="K4" s="511">
        <v>7.4650999999999996</v>
      </c>
      <c r="L4" s="511">
        <v>0.36299999999999999</v>
      </c>
      <c r="M4" s="511">
        <v>7.4569000000000001</v>
      </c>
      <c r="N4" s="511">
        <v>2.0335999999999999</v>
      </c>
      <c r="O4" s="511">
        <v>-7.8449</v>
      </c>
      <c r="P4" s="511">
        <v>-2.6293000000000002</v>
      </c>
      <c r="Q4" s="511">
        <v>-1.4584999999999999</v>
      </c>
      <c r="R4" s="511">
        <v>-3.2766999999999999</v>
      </c>
      <c r="S4" s="511">
        <v>-4.7553999999999998</v>
      </c>
      <c r="T4" s="511">
        <v>-7.6875</v>
      </c>
      <c r="U4" s="511">
        <v>-13.5975</v>
      </c>
      <c r="V4" s="511">
        <v>-8.2911000000000001</v>
      </c>
      <c r="W4" s="511">
        <v>-55.856699999999996</v>
      </c>
      <c r="X4" s="511">
        <v>-55.909100000000002</v>
      </c>
      <c r="Y4" s="511">
        <v>-19.651</v>
      </c>
      <c r="Z4" s="117"/>
      <c r="AA4" s="117"/>
      <c r="AB4" s="117"/>
      <c r="AC4" s="117"/>
      <c r="AD4" s="117"/>
    </row>
    <row r="5" spans="1:30" x14ac:dyDescent="0.2">
      <c r="A5" s="170" t="s">
        <v>145</v>
      </c>
      <c r="B5" s="511">
        <v>-99</v>
      </c>
      <c r="C5" s="511">
        <v>3.5026000000000002</v>
      </c>
      <c r="D5" s="511">
        <v>4.5994999999999999</v>
      </c>
      <c r="E5" s="511">
        <v>3.5625</v>
      </c>
      <c r="F5" s="511">
        <v>-2.0676999999999999</v>
      </c>
      <c r="G5" s="511">
        <v>-10.353199999999999</v>
      </c>
      <c r="H5" s="511">
        <v>1.1999999999999999E-3</v>
      </c>
      <c r="I5" s="511">
        <v>6.9145000000000003</v>
      </c>
      <c r="J5" s="511">
        <v>16.8489</v>
      </c>
      <c r="K5" s="511">
        <v>7.5354999999999999</v>
      </c>
      <c r="L5" s="511">
        <v>0.37780000000000002</v>
      </c>
      <c r="M5" s="511">
        <v>7.4531999999999998</v>
      </c>
      <c r="N5" s="511">
        <v>2.0688</v>
      </c>
      <c r="O5" s="511">
        <v>-7.8052000000000001</v>
      </c>
      <c r="P5" s="511">
        <v>-2.6674000000000002</v>
      </c>
      <c r="Q5" s="511">
        <v>-1.5017</v>
      </c>
      <c r="R5" s="511">
        <v>-3.3292999999999999</v>
      </c>
      <c r="S5" s="511">
        <v>-4.7526999999999999</v>
      </c>
      <c r="T5" s="511">
        <v>-7.7321</v>
      </c>
      <c r="U5" s="511">
        <v>-13.595800000000001</v>
      </c>
      <c r="V5" s="511">
        <v>-8.2768999999999995</v>
      </c>
      <c r="W5" s="511">
        <v>-56.067</v>
      </c>
      <c r="X5" s="511">
        <v>-56.120399999999997</v>
      </c>
      <c r="Y5" s="511">
        <v>-19.6937</v>
      </c>
      <c r="Z5" s="117"/>
      <c r="AA5" s="117"/>
      <c r="AB5" s="117"/>
      <c r="AC5" s="117"/>
      <c r="AD5" s="117"/>
    </row>
    <row r="6" spans="1:30" x14ac:dyDescent="0.2">
      <c r="A6" s="170" t="s">
        <v>146</v>
      </c>
      <c r="B6" s="511"/>
      <c r="C6" s="511"/>
      <c r="D6" s="511"/>
      <c r="E6" s="511"/>
      <c r="F6" s="511"/>
      <c r="G6" s="511"/>
      <c r="H6" s="511"/>
      <c r="I6" s="511"/>
      <c r="J6" s="511"/>
      <c r="K6" s="511"/>
      <c r="L6" s="511"/>
      <c r="M6" s="511"/>
      <c r="N6" s="511"/>
      <c r="O6" s="511"/>
      <c r="P6" s="511"/>
      <c r="Q6" s="511"/>
      <c r="R6" s="511"/>
      <c r="S6" s="511"/>
      <c r="T6" s="511"/>
      <c r="U6" s="511"/>
      <c r="V6" s="511"/>
      <c r="W6" s="511"/>
      <c r="X6" s="511"/>
      <c r="Y6" s="511"/>
      <c r="Z6" s="117"/>
      <c r="AA6" s="117"/>
      <c r="AB6" s="117"/>
      <c r="AC6" s="117"/>
      <c r="AD6" s="117"/>
    </row>
    <row r="7" spans="1:30" x14ac:dyDescent="0.2">
      <c r="A7" s="117"/>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row>
    <row r="8" spans="1:30" x14ac:dyDescent="0.2">
      <c r="A8" s="117"/>
      <c r="B8" s="688" t="s">
        <v>56</v>
      </c>
      <c r="C8" s="688"/>
      <c r="D8" s="688"/>
      <c r="E8" s="688"/>
      <c r="F8" s="688"/>
      <c r="G8" s="688" t="s">
        <v>54</v>
      </c>
      <c r="H8" s="688"/>
      <c r="I8" s="688"/>
      <c r="J8" s="688"/>
      <c r="K8" s="688"/>
      <c r="L8" s="688" t="s">
        <v>53</v>
      </c>
      <c r="M8" s="688"/>
      <c r="N8" s="688"/>
      <c r="O8" s="688"/>
      <c r="P8" s="688"/>
      <c r="Q8" s="688"/>
      <c r="R8" s="688"/>
      <c r="S8" s="688" t="s">
        <v>55</v>
      </c>
      <c r="T8" s="688"/>
      <c r="U8" s="688"/>
      <c r="V8" s="688"/>
      <c r="W8" s="688"/>
      <c r="X8" s="688"/>
      <c r="Y8" s="688" t="s">
        <v>57</v>
      </c>
      <c r="Z8" s="688"/>
      <c r="AA8" s="688"/>
      <c r="AB8" s="117"/>
      <c r="AC8" s="117"/>
      <c r="AD8" s="117"/>
    </row>
    <row r="9" spans="1:30" x14ac:dyDescent="0.2">
      <c r="A9" s="117"/>
      <c r="B9" s="169" t="s">
        <v>316</v>
      </c>
      <c r="C9" s="169" t="s">
        <v>317</v>
      </c>
      <c r="D9" s="169" t="s">
        <v>318</v>
      </c>
      <c r="E9" s="169" t="s">
        <v>319</v>
      </c>
      <c r="F9" s="169" t="s">
        <v>320</v>
      </c>
      <c r="G9" s="169" t="s">
        <v>321</v>
      </c>
      <c r="H9" s="169" t="s">
        <v>322</v>
      </c>
      <c r="I9" s="169" t="s">
        <v>323</v>
      </c>
      <c r="J9" s="169" t="s">
        <v>324</v>
      </c>
      <c r="K9" s="169" t="s">
        <v>319</v>
      </c>
      <c r="L9" s="169" t="s">
        <v>326</v>
      </c>
      <c r="M9" s="169" t="s">
        <v>327</v>
      </c>
      <c r="N9" s="169" t="s">
        <v>328</v>
      </c>
      <c r="O9" s="169" t="s">
        <v>329</v>
      </c>
      <c r="P9" s="169" t="s">
        <v>330</v>
      </c>
      <c r="Q9" s="169" t="s">
        <v>331</v>
      </c>
      <c r="R9" s="169" t="s">
        <v>332</v>
      </c>
      <c r="S9" s="169" t="s">
        <v>333</v>
      </c>
      <c r="T9" s="169" t="s">
        <v>334</v>
      </c>
      <c r="U9" s="169" t="s">
        <v>335</v>
      </c>
      <c r="V9" s="169" t="s">
        <v>336</v>
      </c>
      <c r="W9" s="169" t="s">
        <v>337</v>
      </c>
      <c r="X9" s="169" t="s">
        <v>338</v>
      </c>
      <c r="Y9" s="169" t="s">
        <v>339</v>
      </c>
      <c r="Z9" s="169" t="s">
        <v>324</v>
      </c>
      <c r="AA9" s="169" t="s">
        <v>340</v>
      </c>
      <c r="AB9" s="117"/>
      <c r="AC9" s="117"/>
      <c r="AD9" s="117"/>
    </row>
    <row r="10" spans="1:30" x14ac:dyDescent="0.2">
      <c r="A10" s="117"/>
      <c r="B10" s="169" t="str" cm="1">
        <f t="array" ref="B10:B13">R3:R6</f>
        <v xml:space="preserve"> si_Boehmite</v>
      </c>
      <c r="C10" s="169" t="str" cm="1">
        <f t="array" ref="C10:C13">Q3:Q6</f>
        <v xml:space="preserve"> si_Diaspore</v>
      </c>
      <c r="D10" s="169" t="str" cm="1">
        <f t="array" ref="D10:D13">P3:P6</f>
        <v xml:space="preserve"> si_Gibbsite</v>
      </c>
      <c r="E10" s="169" t="str" cm="1">
        <f t="array" ref="E10:E13">S3:S6</f>
        <v>si_AlAsO4:2H2O</v>
      </c>
      <c r="F10" s="169" t="str" cm="1">
        <f t="array" ref="F10:F13">L3:L6</f>
        <v>si_Scorodite</v>
      </c>
      <c r="G10" s="169" t="str" cm="1">
        <f t="array" ref="G10:G13">Y3:Y6</f>
        <v>si_As2O5(cr)</v>
      </c>
      <c r="H10" s="169" t="str" cm="1">
        <f t="array" ref="H10:H13">W3:W6</f>
        <v>si_Arsenolite</v>
      </c>
      <c r="I10" s="169" t="str" cm="1">
        <f t="array" ref="I10:I13">X3:X6</f>
        <v>si_Claudetite</v>
      </c>
      <c r="J10" s="169" t="str" cm="1">
        <f t="array" ref="J10:J13">U3:U6</f>
        <v>si_Zn3(AsO4)2:2.5w</v>
      </c>
      <c r="K10" s="169" t="str" cm="1">
        <f t="array" ref="K10:K13">S3:S6</f>
        <v>si_AlAsO4:2H2O</v>
      </c>
      <c r="L10" s="169" t="str" cm="1">
        <f t="array" ref="L10:L13">N3:N6</f>
        <v>si_Fe(OH)3(a)</v>
      </c>
      <c r="M10" s="169" t="str" cm="1">
        <f t="array" ref="M10:M13">O3:O6</f>
        <v xml:space="preserve"> si_Fe3(OH)8</v>
      </c>
      <c r="N10" s="169" t="str" cm="1">
        <f t="array" ref="N10:N13">M3:M6</f>
        <v xml:space="preserve"> si_Goethite</v>
      </c>
      <c r="O10" s="169" t="str" cm="1">
        <f t="array" ref="O10:O13">J3:J6</f>
        <v xml:space="preserve"> si_Hematite</v>
      </c>
      <c r="P10" s="169" t="str" cm="1">
        <f t="array" ref="P10:P13">K3:K6</f>
        <v>si_Maghemite</v>
      </c>
      <c r="Q10" s="169" t="str" cm="1">
        <f t="array" ref="Q10:Q13">I3:I6</f>
        <v>si_Magnetite</v>
      </c>
      <c r="R10" s="169" t="str" cm="1">
        <f t="array" ref="R10:R13">L3:L6</f>
        <v>si_Scorodite</v>
      </c>
      <c r="S10" s="169" t="str" cm="1">
        <f t="array" ref="S10:S13">E3:E6</f>
        <v>si_Birnessite</v>
      </c>
      <c r="T10" s="169" t="str" cm="1">
        <f t="array" ref="T10:T13">F3:F6</f>
        <v xml:space="preserve"> si_Bixbyite</v>
      </c>
      <c r="U10" s="169" t="str" cm="1">
        <f t="array" ref="U10:U13">G3:G6</f>
        <v>si_Hausmannite</v>
      </c>
      <c r="V10" s="169" t="str" cm="1">
        <f t="array" ref="V10:V13">H3:H6</f>
        <v>si_Manganite</v>
      </c>
      <c r="W10" s="169" t="str" cm="1">
        <f t="array" ref="W10:W13">D3:D6</f>
        <v xml:space="preserve">  si_Nsutite</v>
      </c>
      <c r="X10" s="169" t="str" cm="1">
        <f t="array" ref="X10:X13">C3:C6</f>
        <v>si_Pyrolusite</v>
      </c>
      <c r="Y10" s="169" t="str" cm="1">
        <f t="array" ref="Y10:Y13">T3:T6</f>
        <v>si_Zincite(c)</v>
      </c>
      <c r="Z10" s="169" t="str" cm="1">
        <f t="array" ref="Z10:Z13">U3:U6</f>
        <v>si_Zn3(AsO4)2:2.5w</v>
      </c>
      <c r="AA10" s="169" t="str" cm="1">
        <f t="array" ref="AA10:AA13">V3:V6</f>
        <v>si_Zn(OH)2-a</v>
      </c>
      <c r="AB10" s="117"/>
      <c r="AC10" s="117"/>
      <c r="AD10" s="117"/>
    </row>
    <row r="11" spans="1:30" x14ac:dyDescent="0.2">
      <c r="A11" s="117"/>
      <c r="B11" s="168">
        <v>-3.2766999999999999</v>
      </c>
      <c r="C11" s="168">
        <v>-1.4584999999999999</v>
      </c>
      <c r="D11" s="168">
        <v>-2.6293000000000002</v>
      </c>
      <c r="E11" s="168">
        <v>-4.7553999999999998</v>
      </c>
      <c r="F11" s="168">
        <v>0.36299999999999999</v>
      </c>
      <c r="G11" s="168">
        <v>-19.651</v>
      </c>
      <c r="H11" s="168">
        <v>-55.856699999999996</v>
      </c>
      <c r="I11" s="168">
        <v>-55.909100000000002</v>
      </c>
      <c r="J11" s="168">
        <v>-13.5975</v>
      </c>
      <c r="K11" s="168">
        <v>-4.7553999999999998</v>
      </c>
      <c r="L11" s="168">
        <v>2.0335999999999999</v>
      </c>
      <c r="M11" s="168">
        <v>-7.8449</v>
      </c>
      <c r="N11" s="168">
        <v>7.4569000000000001</v>
      </c>
      <c r="O11" s="168">
        <v>16.8614</v>
      </c>
      <c r="P11" s="168">
        <v>7.4650999999999996</v>
      </c>
      <c r="Q11" s="168">
        <v>7.0105000000000004</v>
      </c>
      <c r="R11" s="168">
        <v>0.36299999999999999</v>
      </c>
      <c r="S11" s="168">
        <v>3.3639999999999999</v>
      </c>
      <c r="T11" s="168">
        <v>-2.1012</v>
      </c>
      <c r="U11" s="168">
        <v>-10.3104</v>
      </c>
      <c r="V11" s="168">
        <v>-0.10539999999999999</v>
      </c>
      <c r="W11" s="168">
        <v>4.4009999999999998</v>
      </c>
      <c r="X11" s="168">
        <v>3.4790999999999999</v>
      </c>
      <c r="Y11" s="168">
        <v>-7.6875</v>
      </c>
      <c r="Z11" s="168">
        <v>-13.5975</v>
      </c>
      <c r="AA11" s="168">
        <v>-8.2911000000000001</v>
      </c>
      <c r="AB11" s="117"/>
      <c r="AC11" s="117"/>
      <c r="AD11" s="117"/>
    </row>
    <row r="12" spans="1:30" x14ac:dyDescent="0.2">
      <c r="A12" s="117"/>
      <c r="B12" s="168">
        <v>-3.3292999999999999</v>
      </c>
      <c r="C12" s="168">
        <v>-1.5017</v>
      </c>
      <c r="D12" s="168">
        <v>-2.6674000000000002</v>
      </c>
      <c r="E12" s="168">
        <v>-4.7526999999999999</v>
      </c>
      <c r="F12" s="168">
        <v>0.37780000000000002</v>
      </c>
      <c r="G12" s="168">
        <v>-19.6937</v>
      </c>
      <c r="H12" s="168">
        <v>-56.067</v>
      </c>
      <c r="I12" s="168">
        <v>-56.120399999999997</v>
      </c>
      <c r="J12" s="168">
        <v>-13.595800000000001</v>
      </c>
      <c r="K12" s="168">
        <v>-4.7526999999999999</v>
      </c>
      <c r="L12" s="168">
        <v>2.0688</v>
      </c>
      <c r="M12" s="168">
        <v>-7.8052000000000001</v>
      </c>
      <c r="N12" s="168">
        <v>7.4531999999999998</v>
      </c>
      <c r="O12" s="168">
        <v>16.8489</v>
      </c>
      <c r="P12" s="168">
        <v>7.5354999999999999</v>
      </c>
      <c r="Q12" s="168">
        <v>6.9145000000000003</v>
      </c>
      <c r="R12" s="168">
        <v>0.37780000000000002</v>
      </c>
      <c r="S12" s="168">
        <v>3.5625</v>
      </c>
      <c r="T12" s="168">
        <v>-2.0676999999999999</v>
      </c>
      <c r="U12" s="168">
        <v>-10.353199999999999</v>
      </c>
      <c r="V12" s="168">
        <v>1.1999999999999999E-3</v>
      </c>
      <c r="W12" s="168">
        <v>4.5994999999999999</v>
      </c>
      <c r="X12" s="168">
        <v>3.5026000000000002</v>
      </c>
      <c r="Y12" s="168">
        <v>-7.7321</v>
      </c>
      <c r="Z12" s="168">
        <v>-13.595800000000001</v>
      </c>
      <c r="AA12" s="168">
        <v>-8.2768999999999995</v>
      </c>
      <c r="AB12" s="117"/>
      <c r="AC12" s="117"/>
      <c r="AD12" s="117"/>
    </row>
    <row r="13" spans="1:30" x14ac:dyDescent="0.2">
      <c r="A13" s="117"/>
      <c r="B13" s="168">
        <v>0</v>
      </c>
      <c r="C13" s="168">
        <v>0</v>
      </c>
      <c r="D13" s="168">
        <v>0</v>
      </c>
      <c r="E13" s="168">
        <v>0</v>
      </c>
      <c r="F13" s="168">
        <v>0</v>
      </c>
      <c r="G13" s="168">
        <v>0</v>
      </c>
      <c r="H13" s="168">
        <v>0</v>
      </c>
      <c r="I13" s="168">
        <v>0</v>
      </c>
      <c r="J13" s="168">
        <v>0</v>
      </c>
      <c r="K13" s="168">
        <v>0</v>
      </c>
      <c r="L13" s="168">
        <v>0</v>
      </c>
      <c r="M13" s="168">
        <v>0</v>
      </c>
      <c r="N13" s="168">
        <v>0</v>
      </c>
      <c r="O13" s="168">
        <v>0</v>
      </c>
      <c r="P13" s="168">
        <v>0</v>
      </c>
      <c r="Q13" s="168">
        <v>0</v>
      </c>
      <c r="R13" s="168">
        <v>0</v>
      </c>
      <c r="S13" s="168">
        <v>0</v>
      </c>
      <c r="T13" s="168">
        <v>0</v>
      </c>
      <c r="U13" s="168">
        <v>0</v>
      </c>
      <c r="V13" s="168">
        <v>0</v>
      </c>
      <c r="W13" s="168">
        <v>0</v>
      </c>
      <c r="X13" s="168">
        <v>0</v>
      </c>
      <c r="Y13" s="168">
        <v>0</v>
      </c>
      <c r="Z13" s="168">
        <v>0</v>
      </c>
      <c r="AA13" s="168">
        <v>0</v>
      </c>
      <c r="AB13" s="117"/>
      <c r="AC13" s="117"/>
      <c r="AD13" s="117"/>
    </row>
    <row r="14" spans="1:30" x14ac:dyDescent="0.2">
      <c r="A14" s="117"/>
      <c r="B14" s="117"/>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row>
    <row r="15" spans="1:30" x14ac:dyDescent="0.2">
      <c r="A15" s="117"/>
      <c r="B15" s="168">
        <f t="shared" ref="B15" si="0">IF(B11&lt;&gt;0,B11,"")</f>
        <v>-3.2766999999999999</v>
      </c>
      <c r="C15" s="168">
        <f t="shared" ref="C15:AA17" si="1">IF(C11&lt;&gt;0,C11,"")</f>
        <v>-1.4584999999999999</v>
      </c>
      <c r="D15" s="168">
        <f t="shared" si="1"/>
        <v>-2.6293000000000002</v>
      </c>
      <c r="E15" s="168">
        <f t="shared" si="1"/>
        <v>-4.7553999999999998</v>
      </c>
      <c r="F15" s="168">
        <f t="shared" si="1"/>
        <v>0.36299999999999999</v>
      </c>
      <c r="G15" s="168">
        <f t="shared" ref="G15" si="2">IF(G11&lt;&gt;0,G11,"")</f>
        <v>-19.651</v>
      </c>
      <c r="H15" s="168">
        <f t="shared" si="1"/>
        <v>-55.856699999999996</v>
      </c>
      <c r="I15" s="168">
        <f t="shared" si="1"/>
        <v>-55.909100000000002</v>
      </c>
      <c r="J15" s="168">
        <f t="shared" si="1"/>
        <v>-13.5975</v>
      </c>
      <c r="K15" s="168">
        <f t="shared" si="1"/>
        <v>-4.7553999999999998</v>
      </c>
      <c r="L15" s="168">
        <f t="shared" si="1"/>
        <v>2.0335999999999999</v>
      </c>
      <c r="M15" s="168">
        <f t="shared" si="1"/>
        <v>-7.8449</v>
      </c>
      <c r="N15" s="168">
        <f t="shared" si="1"/>
        <v>7.4569000000000001</v>
      </c>
      <c r="O15" s="168">
        <f t="shared" si="1"/>
        <v>16.8614</v>
      </c>
      <c r="P15" s="168">
        <f t="shared" si="1"/>
        <v>7.4650999999999996</v>
      </c>
      <c r="Q15" s="168">
        <f t="shared" si="1"/>
        <v>7.0105000000000004</v>
      </c>
      <c r="R15" s="168">
        <f t="shared" si="1"/>
        <v>0.36299999999999999</v>
      </c>
      <c r="S15" s="168">
        <f t="shared" si="1"/>
        <v>3.3639999999999999</v>
      </c>
      <c r="T15" s="168">
        <f t="shared" si="1"/>
        <v>-2.1012</v>
      </c>
      <c r="U15" s="168">
        <f t="shared" si="1"/>
        <v>-10.3104</v>
      </c>
      <c r="V15" s="168">
        <f t="shared" si="1"/>
        <v>-0.10539999999999999</v>
      </c>
      <c r="W15" s="168">
        <f t="shared" si="1"/>
        <v>4.4009999999999998</v>
      </c>
      <c r="X15" s="168">
        <f t="shared" si="1"/>
        <v>3.4790999999999999</v>
      </c>
      <c r="Y15" s="168">
        <f t="shared" si="1"/>
        <v>-7.6875</v>
      </c>
      <c r="Z15" s="168">
        <f t="shared" si="1"/>
        <v>-13.5975</v>
      </c>
      <c r="AA15" s="168">
        <f t="shared" si="1"/>
        <v>-8.2911000000000001</v>
      </c>
      <c r="AB15" s="117"/>
      <c r="AC15" s="117"/>
      <c r="AD15" s="117"/>
    </row>
    <row r="16" spans="1:30" x14ac:dyDescent="0.2">
      <c r="A16" s="117"/>
      <c r="B16" s="168">
        <f t="shared" ref="B16" si="3">IF(B12&lt;&gt;0,B12,"")</f>
        <v>-3.3292999999999999</v>
      </c>
      <c r="C16" s="168">
        <f t="shared" ref="C16:Q16" si="4">IF(C12&lt;&gt;0,C12,"")</f>
        <v>-1.5017</v>
      </c>
      <c r="D16" s="168">
        <f t="shared" si="4"/>
        <v>-2.6674000000000002</v>
      </c>
      <c r="E16" s="168">
        <f t="shared" si="4"/>
        <v>-4.7526999999999999</v>
      </c>
      <c r="F16" s="168">
        <f t="shared" si="4"/>
        <v>0.37780000000000002</v>
      </c>
      <c r="G16" s="168">
        <f t="shared" ref="G16" si="5">IF(G12&lt;&gt;0,G12,"")</f>
        <v>-19.6937</v>
      </c>
      <c r="H16" s="168">
        <f t="shared" si="4"/>
        <v>-56.067</v>
      </c>
      <c r="I16" s="168">
        <f t="shared" si="4"/>
        <v>-56.120399999999997</v>
      </c>
      <c r="J16" s="168">
        <f t="shared" si="4"/>
        <v>-13.595800000000001</v>
      </c>
      <c r="K16" s="168">
        <f t="shared" si="4"/>
        <v>-4.7526999999999999</v>
      </c>
      <c r="L16" s="168">
        <f t="shared" si="1"/>
        <v>2.0688</v>
      </c>
      <c r="M16" s="168">
        <f t="shared" si="4"/>
        <v>-7.8052000000000001</v>
      </c>
      <c r="N16" s="168">
        <f t="shared" si="4"/>
        <v>7.4531999999999998</v>
      </c>
      <c r="O16" s="168">
        <f t="shared" si="4"/>
        <v>16.8489</v>
      </c>
      <c r="P16" s="168">
        <f t="shared" si="4"/>
        <v>7.5354999999999999</v>
      </c>
      <c r="Q16" s="168">
        <f t="shared" si="4"/>
        <v>6.9145000000000003</v>
      </c>
      <c r="R16" s="168">
        <f t="shared" si="1"/>
        <v>0.37780000000000002</v>
      </c>
      <c r="S16" s="168">
        <f t="shared" si="1"/>
        <v>3.5625</v>
      </c>
      <c r="T16" s="168">
        <f t="shared" si="1"/>
        <v>-2.0676999999999999</v>
      </c>
      <c r="U16" s="168">
        <f t="shared" si="1"/>
        <v>-10.353199999999999</v>
      </c>
      <c r="V16" s="168">
        <f t="shared" si="1"/>
        <v>1.1999999999999999E-3</v>
      </c>
      <c r="W16" s="168">
        <f t="shared" si="1"/>
        <v>4.5994999999999999</v>
      </c>
      <c r="X16" s="168">
        <f t="shared" si="1"/>
        <v>3.5026000000000002</v>
      </c>
      <c r="Y16" s="168">
        <f t="shared" si="1"/>
        <v>-7.7321</v>
      </c>
      <c r="Z16" s="168">
        <f t="shared" si="1"/>
        <v>-13.595800000000001</v>
      </c>
      <c r="AA16" s="168">
        <f t="shared" si="1"/>
        <v>-8.2768999999999995</v>
      </c>
      <c r="AB16" s="117"/>
      <c r="AC16" s="117"/>
      <c r="AD16" s="117"/>
    </row>
    <row r="17" spans="1:30" x14ac:dyDescent="0.2">
      <c r="A17" s="117"/>
      <c r="B17" s="168" t="str">
        <f t="shared" ref="B17" si="6">IF(B13&lt;&gt;0,B13,"")</f>
        <v/>
      </c>
      <c r="C17" s="168" t="str">
        <f t="shared" si="1"/>
        <v/>
      </c>
      <c r="D17" s="168" t="str">
        <f t="shared" si="1"/>
        <v/>
      </c>
      <c r="E17" s="168" t="str">
        <f t="shared" si="1"/>
        <v/>
      </c>
      <c r="F17" s="168" t="str">
        <f t="shared" si="1"/>
        <v/>
      </c>
      <c r="G17" s="168" t="str">
        <f t="shared" ref="G17" si="7">IF(G13&lt;&gt;0,G13,"")</f>
        <v/>
      </c>
      <c r="H17" s="168" t="str">
        <f t="shared" si="1"/>
        <v/>
      </c>
      <c r="I17" s="168" t="str">
        <f t="shared" si="1"/>
        <v/>
      </c>
      <c r="J17" s="168" t="str">
        <f t="shared" si="1"/>
        <v/>
      </c>
      <c r="K17" s="168" t="str">
        <f t="shared" si="1"/>
        <v/>
      </c>
      <c r="L17" s="168" t="str">
        <f t="shared" si="1"/>
        <v/>
      </c>
      <c r="M17" s="168" t="str">
        <f t="shared" si="1"/>
        <v/>
      </c>
      <c r="N17" s="168" t="str">
        <f t="shared" si="1"/>
        <v/>
      </c>
      <c r="O17" s="168" t="str">
        <f t="shared" si="1"/>
        <v/>
      </c>
      <c r="P17" s="168" t="str">
        <f t="shared" si="1"/>
        <v/>
      </c>
      <c r="Q17" s="168" t="str">
        <f t="shared" si="1"/>
        <v/>
      </c>
      <c r="R17" s="168" t="str">
        <f t="shared" si="1"/>
        <v/>
      </c>
      <c r="S17" s="168" t="str">
        <f t="shared" si="1"/>
        <v/>
      </c>
      <c r="T17" s="168" t="str">
        <f t="shared" si="1"/>
        <v/>
      </c>
      <c r="U17" s="168" t="str">
        <f t="shared" si="1"/>
        <v/>
      </c>
      <c r="V17" s="168" t="str">
        <f t="shared" si="1"/>
        <v/>
      </c>
      <c r="W17" s="168" t="str">
        <f t="shared" si="1"/>
        <v/>
      </c>
      <c r="X17" s="168" t="str">
        <f t="shared" si="1"/>
        <v/>
      </c>
      <c r="Y17" s="168" t="str">
        <f t="shared" si="1"/>
        <v/>
      </c>
      <c r="Z17" s="168" t="str">
        <f t="shared" si="1"/>
        <v/>
      </c>
      <c r="AA17" s="168" t="str">
        <f t="shared" si="1"/>
        <v/>
      </c>
      <c r="AB17" s="117"/>
      <c r="AC17" s="117"/>
      <c r="AD17" s="117"/>
    </row>
    <row r="18" spans="1:30" x14ac:dyDescent="0.2">
      <c r="A18" s="170" t="s">
        <v>341</v>
      </c>
      <c r="B18" s="168">
        <f t="shared" ref="B18" si="8">AVERAGE(B15:B17)</f>
        <v>-3.3029999999999999</v>
      </c>
      <c r="C18" s="168">
        <f t="shared" ref="C18:AA18" si="9">AVERAGE(C15:C17)</f>
        <v>-1.4801</v>
      </c>
      <c r="D18" s="168">
        <f t="shared" si="9"/>
        <v>-2.6483500000000002</v>
      </c>
      <c r="E18" s="168">
        <f t="shared" si="9"/>
        <v>-4.7540499999999994</v>
      </c>
      <c r="F18" s="168">
        <f t="shared" si="9"/>
        <v>0.37040000000000001</v>
      </c>
      <c r="G18" s="168">
        <f t="shared" ref="G18" si="10">AVERAGE(G15:G17)</f>
        <v>-19.672350000000002</v>
      </c>
      <c r="H18" s="168">
        <f t="shared" si="9"/>
        <v>-55.961849999999998</v>
      </c>
      <c r="I18" s="168">
        <f t="shared" si="9"/>
        <v>-56.014749999999999</v>
      </c>
      <c r="J18" s="168">
        <f t="shared" si="9"/>
        <v>-13.59665</v>
      </c>
      <c r="K18" s="168">
        <f t="shared" si="9"/>
        <v>-4.7540499999999994</v>
      </c>
      <c r="L18" s="168">
        <f t="shared" si="9"/>
        <v>2.0511999999999997</v>
      </c>
      <c r="M18" s="168">
        <f t="shared" si="9"/>
        <v>-7.8250500000000001</v>
      </c>
      <c r="N18" s="168">
        <f t="shared" si="9"/>
        <v>7.45505</v>
      </c>
      <c r="O18" s="168">
        <f t="shared" si="9"/>
        <v>16.855150000000002</v>
      </c>
      <c r="P18" s="168">
        <f t="shared" si="9"/>
        <v>7.5002999999999993</v>
      </c>
      <c r="Q18" s="168">
        <f t="shared" si="9"/>
        <v>6.9625000000000004</v>
      </c>
      <c r="R18" s="168">
        <f t="shared" si="9"/>
        <v>0.37040000000000001</v>
      </c>
      <c r="S18" s="168">
        <f t="shared" si="9"/>
        <v>3.4632499999999999</v>
      </c>
      <c r="T18" s="168">
        <f t="shared" si="9"/>
        <v>-2.0844499999999999</v>
      </c>
      <c r="U18" s="168">
        <f t="shared" si="9"/>
        <v>-10.331799999999999</v>
      </c>
      <c r="V18" s="168">
        <f t="shared" si="9"/>
        <v>-5.2099999999999994E-2</v>
      </c>
      <c r="W18" s="168">
        <f t="shared" si="9"/>
        <v>4.5002499999999994</v>
      </c>
      <c r="X18" s="168">
        <f t="shared" si="9"/>
        <v>3.49085</v>
      </c>
      <c r="Y18" s="168">
        <f t="shared" si="9"/>
        <v>-7.7097999999999995</v>
      </c>
      <c r="Z18" s="168">
        <f t="shared" si="9"/>
        <v>-13.59665</v>
      </c>
      <c r="AA18" s="168">
        <f t="shared" si="9"/>
        <v>-8.2839999999999989</v>
      </c>
      <c r="AB18" s="117"/>
      <c r="AC18" s="117"/>
      <c r="AD18" s="117"/>
    </row>
    <row r="19" spans="1:30" x14ac:dyDescent="0.2">
      <c r="A19" s="117"/>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row>
    <row r="20" spans="1:30" x14ac:dyDescent="0.2">
      <c r="A20" s="170" t="s">
        <v>342</v>
      </c>
      <c r="B20" s="168" t="str">
        <f>IF(B18&gt;0,B18,"")</f>
        <v/>
      </c>
      <c r="C20" s="168" t="str">
        <f t="shared" ref="C20:AA20" si="11">IF(C18&gt;0,C18,"")</f>
        <v/>
      </c>
      <c r="D20" s="168" t="str">
        <f t="shared" si="11"/>
        <v/>
      </c>
      <c r="E20" s="168" t="str">
        <f t="shared" si="11"/>
        <v/>
      </c>
      <c r="F20" s="168">
        <f t="shared" si="11"/>
        <v>0.37040000000000001</v>
      </c>
      <c r="G20" s="168" t="str">
        <f t="shared" si="11"/>
        <v/>
      </c>
      <c r="H20" s="168" t="str">
        <f t="shared" si="11"/>
        <v/>
      </c>
      <c r="I20" s="168" t="str">
        <f t="shared" si="11"/>
        <v/>
      </c>
      <c r="J20" s="168" t="str">
        <f t="shared" si="11"/>
        <v/>
      </c>
      <c r="K20" s="168" t="str">
        <f t="shared" si="11"/>
        <v/>
      </c>
      <c r="L20" s="168">
        <f t="shared" si="11"/>
        <v>2.0511999999999997</v>
      </c>
      <c r="M20" s="168" t="str">
        <f t="shared" si="11"/>
        <v/>
      </c>
      <c r="N20" s="168">
        <f t="shared" si="11"/>
        <v>7.45505</v>
      </c>
      <c r="O20" s="168">
        <f t="shared" si="11"/>
        <v>16.855150000000002</v>
      </c>
      <c r="P20" s="168">
        <f t="shared" si="11"/>
        <v>7.5002999999999993</v>
      </c>
      <c r="Q20" s="168">
        <f t="shared" si="11"/>
        <v>6.9625000000000004</v>
      </c>
      <c r="R20" s="168">
        <f t="shared" si="11"/>
        <v>0.37040000000000001</v>
      </c>
      <c r="S20" s="168">
        <f t="shared" si="11"/>
        <v>3.4632499999999999</v>
      </c>
      <c r="T20" s="168" t="str">
        <f t="shared" si="11"/>
        <v/>
      </c>
      <c r="U20" s="168" t="str">
        <f t="shared" si="11"/>
        <v/>
      </c>
      <c r="V20" s="168" t="str">
        <f t="shared" si="11"/>
        <v/>
      </c>
      <c r="W20" s="168">
        <f t="shared" si="11"/>
        <v>4.5002499999999994</v>
      </c>
      <c r="X20" s="168">
        <f t="shared" si="11"/>
        <v>3.49085</v>
      </c>
      <c r="Y20" s="168" t="str">
        <f t="shared" si="11"/>
        <v/>
      </c>
      <c r="Z20" s="168" t="str">
        <f t="shared" si="11"/>
        <v/>
      </c>
      <c r="AA20" s="168" t="str">
        <f t="shared" si="11"/>
        <v/>
      </c>
      <c r="AB20" s="117"/>
      <c r="AC20" s="117"/>
      <c r="AD20" s="117"/>
    </row>
    <row r="21" spans="1:30" x14ac:dyDescent="0.2">
      <c r="A21" s="117"/>
      <c r="B21" s="117"/>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row>
    <row r="22" spans="1:30" x14ac:dyDescent="0.2">
      <c r="A22" s="170" t="s">
        <v>343</v>
      </c>
      <c r="B22" s="117"/>
      <c r="C22" s="117"/>
      <c r="D22" s="117"/>
      <c r="E22" s="117"/>
      <c r="F22" s="168">
        <f>IF(SUM(B20:F20)&gt;0,AVERAGE(B20:F20),0)</f>
        <v>0.37040000000000001</v>
      </c>
      <c r="G22" s="117"/>
      <c r="H22" s="117"/>
      <c r="I22" s="117"/>
      <c r="J22" s="117"/>
      <c r="K22" s="168">
        <f>IF(SUM(G20:K20)&gt;0,AVERAGE(G20:K20),0)</f>
        <v>0</v>
      </c>
      <c r="L22" s="117"/>
      <c r="M22" s="117"/>
      <c r="N22" s="117"/>
      <c r="O22" s="117"/>
      <c r="P22" s="117"/>
      <c r="Q22" s="117"/>
      <c r="R22" s="168">
        <f>IF(SUM(L20:R20)&gt;0,AVERAGE(L20:R20),0)</f>
        <v>6.8657666666666657</v>
      </c>
      <c r="S22" s="117"/>
      <c r="T22" s="117"/>
      <c r="U22" s="117"/>
      <c r="V22" s="117"/>
      <c r="W22" s="117"/>
      <c r="X22" s="168">
        <f>IF(SUM(S20:X20)&gt;0,AVERAGE(S20:X20),0)</f>
        <v>3.8181166666666666</v>
      </c>
      <c r="Y22" s="117"/>
      <c r="Z22" s="117"/>
      <c r="AA22" s="168">
        <f>IF(SUM(Y20:AA20)&gt;0,AVERAGE(Y20:AA20),0)</f>
        <v>0</v>
      </c>
      <c r="AB22" s="117"/>
      <c r="AC22" s="117"/>
      <c r="AD22" s="117"/>
    </row>
    <row r="23" spans="1:30" x14ac:dyDescent="0.2">
      <c r="A23" s="117"/>
      <c r="B23" s="117"/>
      <c r="C23" s="117"/>
      <c r="D23" s="117"/>
      <c r="E23" s="117"/>
      <c r="F23" s="117"/>
      <c r="G23" s="174"/>
      <c r="H23" s="174"/>
      <c r="I23" s="174"/>
      <c r="J23" s="174"/>
      <c r="K23" s="174"/>
      <c r="L23" s="174"/>
      <c r="M23" s="174"/>
      <c r="N23" s="174"/>
      <c r="O23" s="174"/>
      <c r="P23" s="174"/>
      <c r="Q23" s="174"/>
      <c r="R23" s="174"/>
      <c r="S23" s="174"/>
      <c r="T23" s="174"/>
      <c r="U23" s="174"/>
      <c r="V23" s="174"/>
      <c r="W23" s="174"/>
      <c r="X23" s="174"/>
      <c r="Y23" s="174"/>
      <c r="Z23" s="174"/>
      <c r="AA23" s="117"/>
      <c r="AB23" s="117"/>
      <c r="AC23" s="117"/>
      <c r="AD23" s="117"/>
    </row>
    <row r="24" spans="1:30" x14ac:dyDescent="0.2">
      <c r="A24" s="170" t="s">
        <v>344</v>
      </c>
      <c r="B24" s="117"/>
      <c r="C24" s="117"/>
      <c r="D24" s="117"/>
      <c r="E24" s="174"/>
      <c r="F24" s="171">
        <f>1+F22</f>
        <v>1.3704000000000001</v>
      </c>
      <c r="G24" s="174"/>
      <c r="H24" s="174"/>
      <c r="I24" s="174"/>
      <c r="J24" s="174"/>
      <c r="K24" s="171">
        <f>1+K22</f>
        <v>1</v>
      </c>
      <c r="L24" s="174"/>
      <c r="M24" s="174"/>
      <c r="N24" s="174"/>
      <c r="O24" s="174"/>
      <c r="P24" s="174"/>
      <c r="Q24" s="174"/>
      <c r="R24" s="171">
        <f>1+R22</f>
        <v>7.8657666666666657</v>
      </c>
      <c r="S24" s="174"/>
      <c r="T24" s="174"/>
      <c r="U24" s="174"/>
      <c r="V24" s="174"/>
      <c r="W24" s="174"/>
      <c r="X24" s="171">
        <f>1+X22</f>
        <v>4.8181166666666666</v>
      </c>
      <c r="Y24" s="174"/>
      <c r="Z24" s="174"/>
      <c r="AA24" s="171">
        <f>1+AA22</f>
        <v>1</v>
      </c>
      <c r="AB24" s="117"/>
      <c r="AC24" s="117"/>
      <c r="AD24" s="117"/>
    </row>
    <row r="25" spans="1:30" x14ac:dyDescent="0.2">
      <c r="A25" s="117"/>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row>
    <row r="26" spans="1:30" x14ac:dyDescent="0.2">
      <c r="A26" s="117"/>
      <c r="B26" s="173" t="s">
        <v>9</v>
      </c>
      <c r="C26" s="173" t="s">
        <v>10</v>
      </c>
      <c r="D26" s="173" t="s">
        <v>11</v>
      </c>
      <c r="E26" s="173" t="s">
        <v>12</v>
      </c>
      <c r="F26" s="173" t="s">
        <v>13</v>
      </c>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row>
    <row r="27" spans="1:30" x14ac:dyDescent="0.2">
      <c r="A27" s="117"/>
      <c r="B27" s="515">
        <f>R24</f>
        <v>7.8657666666666657</v>
      </c>
      <c r="C27" s="515">
        <f>K24</f>
        <v>1</v>
      </c>
      <c r="D27" s="515">
        <f>X24</f>
        <v>4.8181166666666666</v>
      </c>
      <c r="E27" s="515">
        <f>F24</f>
        <v>1.3704000000000001</v>
      </c>
      <c r="F27" s="515">
        <f>AA24</f>
        <v>1</v>
      </c>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row>
    <row r="28" spans="1:30" x14ac:dyDescent="0.2">
      <c r="A28" s="117"/>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row>
    <row r="29" spans="1:30" x14ac:dyDescent="0.2">
      <c r="A29" s="117"/>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row>
    <row r="30" spans="1:30" x14ac:dyDescent="0.2">
      <c r="A30" s="117"/>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row>
    <row r="31" spans="1:30" x14ac:dyDescent="0.2">
      <c r="A31" s="117"/>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row>
    <row r="32" spans="1:30" x14ac:dyDescent="0.2">
      <c r="A32" s="117"/>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row>
    <row r="33" spans="1:30" x14ac:dyDescent="0.2">
      <c r="A33" s="117"/>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row>
    <row r="34" spans="1:30" x14ac:dyDescent="0.2">
      <c r="A34" s="438"/>
      <c r="B34" s="438"/>
      <c r="C34" s="438"/>
      <c r="D34" s="438"/>
      <c r="E34" s="438"/>
      <c r="F34" s="438"/>
      <c r="G34" s="438"/>
      <c r="H34" s="438"/>
      <c r="I34" s="438"/>
      <c r="J34" s="438"/>
      <c r="K34" s="438"/>
      <c r="L34" s="438"/>
      <c r="M34" s="438"/>
      <c r="N34" s="438"/>
      <c r="O34" s="438"/>
      <c r="P34" s="438"/>
      <c r="Q34" s="438"/>
      <c r="R34" s="438"/>
      <c r="S34" s="438"/>
      <c r="T34" s="438"/>
      <c r="U34" s="438"/>
      <c r="V34" s="438"/>
      <c r="W34" s="438"/>
      <c r="X34" s="438"/>
      <c r="Y34" s="438"/>
      <c r="Z34" s="438"/>
      <c r="AA34" s="438"/>
      <c r="AB34" s="438"/>
      <c r="AC34" s="438"/>
      <c r="AD34" s="438"/>
    </row>
    <row r="35" spans="1:30" x14ac:dyDescent="0.2">
      <c r="A35" s="438"/>
      <c r="B35" s="438"/>
      <c r="C35" s="438"/>
      <c r="D35" s="438"/>
      <c r="E35" s="438"/>
      <c r="F35" s="438"/>
      <c r="G35" s="438"/>
      <c r="H35" s="438"/>
      <c r="I35" s="438"/>
      <c r="J35" s="438"/>
      <c r="K35" s="438"/>
      <c r="L35" s="438"/>
      <c r="M35" s="438"/>
      <c r="N35" s="438"/>
      <c r="O35" s="438"/>
      <c r="P35" s="438"/>
      <c r="Q35" s="438"/>
      <c r="R35" s="438"/>
      <c r="S35" s="438"/>
      <c r="T35" s="438"/>
      <c r="U35" s="438"/>
      <c r="V35" s="438"/>
      <c r="W35" s="438"/>
      <c r="X35" s="438"/>
      <c r="Y35" s="438"/>
      <c r="Z35" s="438"/>
      <c r="AA35" s="438"/>
      <c r="AB35" s="438"/>
      <c r="AC35" s="438"/>
      <c r="AD35" s="438"/>
    </row>
    <row r="36" spans="1:30" x14ac:dyDescent="0.2">
      <c r="A36" s="438"/>
      <c r="B36" s="438"/>
      <c r="C36" s="438"/>
      <c r="D36" s="438"/>
      <c r="E36" s="438"/>
      <c r="F36" s="438"/>
      <c r="G36" s="438"/>
      <c r="H36" s="438"/>
      <c r="I36" s="438"/>
      <c r="J36" s="438"/>
      <c r="K36" s="438"/>
      <c r="L36" s="438"/>
      <c r="M36" s="438"/>
      <c r="N36" s="438"/>
      <c r="O36" s="438"/>
      <c r="P36" s="438"/>
      <c r="Q36" s="438"/>
      <c r="R36" s="438"/>
      <c r="S36" s="438"/>
      <c r="T36" s="438"/>
      <c r="U36" s="438"/>
      <c r="V36" s="438"/>
      <c r="W36" s="438"/>
      <c r="X36" s="438"/>
      <c r="Y36" s="438"/>
      <c r="Z36" s="438"/>
      <c r="AA36" s="438"/>
      <c r="AB36" s="438"/>
      <c r="AC36" s="438"/>
      <c r="AD36" s="438"/>
    </row>
    <row r="37" spans="1:30" x14ac:dyDescent="0.2">
      <c r="A37" s="438"/>
      <c r="B37" s="438"/>
      <c r="C37" s="438"/>
      <c r="D37" s="438"/>
      <c r="E37" s="438"/>
      <c r="F37" s="438"/>
      <c r="G37" s="438"/>
      <c r="H37" s="438"/>
      <c r="I37" s="438"/>
      <c r="J37" s="438"/>
      <c r="K37" s="438"/>
      <c r="L37" s="438"/>
      <c r="M37" s="438"/>
      <c r="N37" s="438"/>
      <c r="O37" s="438"/>
      <c r="P37" s="438"/>
      <c r="Q37" s="438"/>
      <c r="R37" s="438"/>
      <c r="S37" s="438"/>
      <c r="T37" s="438"/>
      <c r="U37" s="438"/>
      <c r="V37" s="438"/>
      <c r="W37" s="438"/>
      <c r="X37" s="438"/>
      <c r="Y37" s="438"/>
      <c r="Z37" s="438"/>
      <c r="AA37" s="438"/>
      <c r="AB37" s="438"/>
      <c r="AC37" s="438"/>
      <c r="AD37" s="438"/>
    </row>
    <row r="38" spans="1:30" x14ac:dyDescent="0.2">
      <c r="A38" s="438"/>
      <c r="B38" s="438"/>
      <c r="C38" s="438"/>
      <c r="D38" s="438"/>
      <c r="E38" s="438"/>
      <c r="F38" s="438"/>
      <c r="G38" s="438"/>
      <c r="H38" s="438"/>
      <c r="I38" s="438"/>
      <c r="J38" s="438"/>
      <c r="K38" s="438"/>
      <c r="L38" s="438"/>
      <c r="M38" s="438"/>
      <c r="N38" s="438"/>
      <c r="O38" s="438"/>
      <c r="P38" s="438"/>
      <c r="Q38" s="438"/>
      <c r="R38" s="438"/>
      <c r="S38" s="438"/>
      <c r="T38" s="438"/>
      <c r="U38" s="438"/>
      <c r="V38" s="438"/>
      <c r="W38" s="438"/>
      <c r="X38" s="438"/>
      <c r="Y38" s="438"/>
      <c r="Z38" s="438"/>
      <c r="AA38" s="438"/>
      <c r="AB38" s="438"/>
      <c r="AC38" s="438"/>
      <c r="AD38" s="438"/>
    </row>
    <row r="39" spans="1:30" x14ac:dyDescent="0.2">
      <c r="A39" s="438"/>
      <c r="B39" s="438"/>
      <c r="C39" s="438"/>
      <c r="D39" s="438"/>
      <c r="E39" s="438"/>
      <c r="F39" s="438"/>
      <c r="G39" s="438"/>
      <c r="H39" s="438"/>
      <c r="I39" s="438"/>
      <c r="J39" s="438"/>
      <c r="K39" s="438"/>
      <c r="L39" s="438"/>
      <c r="M39" s="438"/>
      <c r="N39" s="438"/>
      <c r="O39" s="438"/>
      <c r="P39" s="438"/>
      <c r="Q39" s="438"/>
      <c r="R39" s="438"/>
      <c r="S39" s="438"/>
      <c r="T39" s="438"/>
      <c r="U39" s="438"/>
      <c r="V39" s="438"/>
      <c r="W39" s="438"/>
      <c r="X39" s="438"/>
      <c r="Y39" s="438"/>
      <c r="Z39" s="438"/>
      <c r="AA39" s="438"/>
      <c r="AB39" s="438"/>
      <c r="AC39" s="438"/>
      <c r="AD39" s="438"/>
    </row>
    <row r="40" spans="1:30" x14ac:dyDescent="0.2">
      <c r="A40" s="438"/>
      <c r="B40" s="438"/>
      <c r="C40" s="438"/>
      <c r="D40" s="438"/>
      <c r="E40" s="438"/>
      <c r="F40" s="438"/>
      <c r="G40" s="438"/>
      <c r="H40" s="438"/>
      <c r="I40" s="438"/>
      <c r="J40" s="438"/>
      <c r="K40" s="438"/>
      <c r="L40" s="438"/>
      <c r="M40" s="438"/>
      <c r="N40" s="438"/>
      <c r="O40" s="438"/>
      <c r="P40" s="438"/>
      <c r="Q40" s="438"/>
      <c r="R40" s="438"/>
      <c r="S40" s="438"/>
      <c r="T40" s="438"/>
      <c r="U40" s="438"/>
      <c r="V40" s="438"/>
      <c r="W40" s="438"/>
      <c r="X40" s="438"/>
      <c r="Y40" s="438"/>
      <c r="Z40" s="438"/>
      <c r="AA40" s="438"/>
      <c r="AB40" s="438"/>
      <c r="AC40" s="438"/>
      <c r="AD40" s="438"/>
    </row>
    <row r="41" spans="1:30" x14ac:dyDescent="0.2">
      <c r="A41" s="438"/>
      <c r="B41" s="438"/>
      <c r="C41" s="438"/>
      <c r="D41" s="438"/>
      <c r="E41" s="438"/>
      <c r="F41" s="438"/>
      <c r="G41" s="438"/>
      <c r="H41" s="438"/>
      <c r="I41" s="438"/>
      <c r="J41" s="438"/>
      <c r="K41" s="438"/>
      <c r="L41" s="438"/>
      <c r="M41" s="438"/>
      <c r="N41" s="438"/>
      <c r="O41" s="438"/>
      <c r="P41" s="438"/>
      <c r="Q41" s="438"/>
      <c r="R41" s="438"/>
      <c r="S41" s="438"/>
      <c r="T41" s="438"/>
      <c r="U41" s="438"/>
      <c r="V41" s="438"/>
      <c r="W41" s="438"/>
      <c r="X41" s="438"/>
      <c r="Y41" s="438"/>
      <c r="Z41" s="438"/>
      <c r="AA41" s="438"/>
      <c r="AB41" s="438"/>
      <c r="AC41" s="438"/>
      <c r="AD41" s="438"/>
    </row>
    <row r="42" spans="1:30" x14ac:dyDescent="0.2">
      <c r="A42" s="438"/>
      <c r="B42" s="438"/>
      <c r="C42" s="438"/>
      <c r="D42" s="438"/>
      <c r="E42" s="438"/>
      <c r="F42" s="438"/>
      <c r="G42" s="438"/>
      <c r="H42" s="438"/>
      <c r="I42" s="438"/>
      <c r="J42" s="438"/>
      <c r="K42" s="438"/>
      <c r="L42" s="438"/>
      <c r="M42" s="438"/>
      <c r="N42" s="438"/>
      <c r="O42" s="438"/>
      <c r="P42" s="438"/>
      <c r="Q42" s="438"/>
      <c r="R42" s="438"/>
      <c r="S42" s="438"/>
      <c r="T42" s="438"/>
      <c r="U42" s="438"/>
      <c r="V42" s="438"/>
      <c r="W42" s="438"/>
      <c r="X42" s="438"/>
      <c r="Y42" s="438"/>
      <c r="Z42" s="438"/>
      <c r="AA42" s="438"/>
      <c r="AB42" s="438"/>
      <c r="AC42" s="438"/>
      <c r="AD42" s="438"/>
    </row>
    <row r="43" spans="1:30" x14ac:dyDescent="0.2">
      <c r="A43" s="438"/>
      <c r="B43" s="438"/>
      <c r="C43" s="438"/>
      <c r="D43" s="438"/>
      <c r="E43" s="438"/>
      <c r="F43" s="438"/>
      <c r="G43" s="438"/>
      <c r="H43" s="438"/>
      <c r="I43" s="438"/>
      <c r="J43" s="438"/>
      <c r="K43" s="438"/>
      <c r="L43" s="438"/>
      <c r="M43" s="438"/>
      <c r="N43" s="438"/>
      <c r="O43" s="438"/>
      <c r="P43" s="438"/>
      <c r="Q43" s="438"/>
      <c r="R43" s="438"/>
      <c r="S43" s="438"/>
      <c r="T43" s="438"/>
      <c r="U43" s="438"/>
      <c r="V43" s="438"/>
      <c r="W43" s="438"/>
      <c r="X43" s="438"/>
      <c r="Y43" s="438"/>
      <c r="Z43" s="438"/>
      <c r="AA43" s="438"/>
      <c r="AB43" s="438"/>
      <c r="AC43" s="438"/>
      <c r="AD43" s="438"/>
    </row>
    <row r="44" spans="1:30" x14ac:dyDescent="0.2">
      <c r="A44" s="438"/>
      <c r="B44" s="438"/>
      <c r="C44" s="438"/>
      <c r="D44" s="438"/>
      <c r="E44" s="438"/>
      <c r="F44" s="438"/>
      <c r="G44" s="438"/>
      <c r="H44" s="438"/>
      <c r="I44" s="438"/>
      <c r="J44" s="438"/>
      <c r="K44" s="438"/>
      <c r="L44" s="438"/>
      <c r="M44" s="438"/>
      <c r="N44" s="438"/>
      <c r="O44" s="438"/>
      <c r="P44" s="438"/>
      <c r="Q44" s="438"/>
      <c r="R44" s="438"/>
      <c r="S44" s="438"/>
      <c r="T44" s="438"/>
      <c r="U44" s="438"/>
      <c r="V44" s="438"/>
      <c r="W44" s="438"/>
      <c r="X44" s="438"/>
      <c r="Y44" s="438"/>
      <c r="Z44" s="438"/>
      <c r="AA44" s="438"/>
      <c r="AB44" s="438"/>
      <c r="AC44" s="438"/>
      <c r="AD44" s="438"/>
    </row>
    <row r="45" spans="1:30" x14ac:dyDescent="0.2">
      <c r="A45" s="438"/>
      <c r="B45" s="438"/>
      <c r="C45" s="438"/>
      <c r="D45" s="438"/>
      <c r="E45" s="438"/>
      <c r="F45" s="438"/>
      <c r="G45" s="438"/>
      <c r="H45" s="438"/>
      <c r="I45" s="438"/>
      <c r="J45" s="438"/>
      <c r="K45" s="438"/>
      <c r="L45" s="438"/>
      <c r="M45" s="438"/>
      <c r="N45" s="438"/>
      <c r="O45" s="438"/>
      <c r="P45" s="438"/>
      <c r="Q45" s="438"/>
      <c r="R45" s="438"/>
      <c r="S45" s="438"/>
      <c r="T45" s="438"/>
      <c r="U45" s="438"/>
      <c r="V45" s="438"/>
      <c r="W45" s="438"/>
      <c r="X45" s="438"/>
      <c r="Y45" s="438"/>
      <c r="Z45" s="438"/>
      <c r="AA45" s="438"/>
      <c r="AB45" s="438"/>
      <c r="AC45" s="438"/>
      <c r="AD45" s="438"/>
    </row>
    <row r="46" spans="1:30" x14ac:dyDescent="0.2">
      <c r="A46" s="438"/>
      <c r="B46" s="438"/>
      <c r="C46" s="438"/>
      <c r="D46" s="438"/>
      <c r="E46" s="438"/>
      <c r="F46" s="438"/>
      <c r="G46" s="438"/>
      <c r="H46" s="438"/>
      <c r="I46" s="438"/>
      <c r="J46" s="438"/>
      <c r="K46" s="438"/>
      <c r="L46" s="438"/>
      <c r="M46" s="438"/>
      <c r="N46" s="438"/>
      <c r="O46" s="438"/>
      <c r="P46" s="438"/>
      <c r="Q46" s="438"/>
      <c r="R46" s="438"/>
      <c r="S46" s="438"/>
      <c r="T46" s="438"/>
      <c r="U46" s="438"/>
      <c r="V46" s="438"/>
      <c r="W46" s="438"/>
      <c r="X46" s="438"/>
      <c r="Y46" s="438"/>
      <c r="Z46" s="438"/>
      <c r="AA46" s="438"/>
      <c r="AB46" s="438"/>
      <c r="AC46" s="438"/>
      <c r="AD46" s="438"/>
    </row>
    <row r="47" spans="1:30" x14ac:dyDescent="0.2">
      <c r="A47" s="438"/>
      <c r="B47" s="438"/>
      <c r="C47" s="438"/>
      <c r="D47" s="438"/>
      <c r="E47" s="438"/>
      <c r="F47" s="438"/>
      <c r="G47" s="438"/>
      <c r="H47" s="438"/>
      <c r="I47" s="438"/>
      <c r="J47" s="438"/>
      <c r="K47" s="438"/>
      <c r="L47" s="438"/>
      <c r="M47" s="438"/>
      <c r="N47" s="438"/>
      <c r="O47" s="438"/>
      <c r="P47" s="438"/>
      <c r="Q47" s="438"/>
      <c r="R47" s="438"/>
      <c r="S47" s="438"/>
      <c r="T47" s="438"/>
      <c r="U47" s="438"/>
      <c r="V47" s="438"/>
      <c r="W47" s="438"/>
      <c r="X47" s="438"/>
      <c r="Y47" s="438"/>
      <c r="Z47" s="438"/>
      <c r="AA47" s="438"/>
      <c r="AB47" s="438"/>
      <c r="AC47" s="438"/>
      <c r="AD47" s="438"/>
    </row>
    <row r="48" spans="1:30" x14ac:dyDescent="0.2">
      <c r="A48" s="438"/>
      <c r="B48" s="438"/>
      <c r="C48" s="438"/>
      <c r="D48" s="438"/>
      <c r="E48" s="438"/>
      <c r="F48" s="438"/>
      <c r="G48" s="438"/>
      <c r="H48" s="438"/>
      <c r="I48" s="438"/>
      <c r="J48" s="438"/>
      <c r="K48" s="438"/>
      <c r="L48" s="438"/>
      <c r="M48" s="438"/>
      <c r="N48" s="438"/>
      <c r="O48" s="438"/>
      <c r="P48" s="438"/>
      <c r="Q48" s="438"/>
      <c r="R48" s="438"/>
      <c r="S48" s="438"/>
      <c r="T48" s="438"/>
      <c r="U48" s="438"/>
      <c r="V48" s="438"/>
      <c r="W48" s="438"/>
      <c r="X48" s="438"/>
      <c r="Y48" s="438"/>
      <c r="Z48" s="438"/>
      <c r="AA48" s="438"/>
      <c r="AB48" s="438"/>
      <c r="AC48" s="438"/>
      <c r="AD48" s="438"/>
    </row>
    <row r="49" spans="1:30" x14ac:dyDescent="0.2">
      <c r="A49" s="438"/>
      <c r="B49" s="438"/>
      <c r="C49" s="438"/>
      <c r="D49" s="438"/>
      <c r="E49" s="438"/>
      <c r="F49" s="438"/>
      <c r="G49" s="438"/>
      <c r="H49" s="438"/>
      <c r="I49" s="438"/>
      <c r="J49" s="438"/>
      <c r="K49" s="438"/>
      <c r="L49" s="438"/>
      <c r="M49" s="438"/>
      <c r="N49" s="438"/>
      <c r="O49" s="438"/>
      <c r="P49" s="438"/>
      <c r="Q49" s="438"/>
      <c r="R49" s="438"/>
      <c r="S49" s="438"/>
      <c r="T49" s="438"/>
      <c r="U49" s="438"/>
      <c r="V49" s="438"/>
      <c r="W49" s="438"/>
      <c r="X49" s="438"/>
      <c r="Y49" s="438"/>
      <c r="Z49" s="438"/>
      <c r="AA49" s="438"/>
      <c r="AB49" s="438"/>
      <c r="AC49" s="438"/>
      <c r="AD49" s="438"/>
    </row>
    <row r="50" spans="1:30" x14ac:dyDescent="0.2">
      <c r="A50" s="438"/>
      <c r="B50" s="438"/>
      <c r="C50" s="438"/>
      <c r="D50" s="438"/>
      <c r="E50" s="438"/>
      <c r="F50" s="438"/>
      <c r="G50" s="438"/>
      <c r="H50" s="438"/>
      <c r="I50" s="438"/>
      <c r="J50" s="438"/>
      <c r="K50" s="438"/>
      <c r="L50" s="438"/>
      <c r="M50" s="438"/>
      <c r="N50" s="438"/>
      <c r="O50" s="438"/>
      <c r="P50" s="438"/>
      <c r="Q50" s="438"/>
      <c r="R50" s="438"/>
      <c r="S50" s="438"/>
      <c r="T50" s="438"/>
      <c r="U50" s="438"/>
      <c r="V50" s="438"/>
      <c r="W50" s="438"/>
      <c r="X50" s="438"/>
      <c r="Y50" s="438"/>
      <c r="Z50" s="438"/>
      <c r="AA50" s="438"/>
      <c r="AB50" s="438"/>
      <c r="AC50" s="438"/>
      <c r="AD50" s="438"/>
    </row>
    <row r="51" spans="1:30" x14ac:dyDescent="0.2">
      <c r="A51" s="438"/>
      <c r="B51" s="438"/>
      <c r="C51" s="438"/>
      <c r="D51" s="438"/>
      <c r="E51" s="438"/>
      <c r="F51" s="438"/>
      <c r="G51" s="438"/>
      <c r="H51" s="438"/>
      <c r="I51" s="438"/>
      <c r="J51" s="438"/>
      <c r="K51" s="438"/>
      <c r="L51" s="438"/>
      <c r="M51" s="438"/>
      <c r="N51" s="438"/>
      <c r="O51" s="438"/>
      <c r="P51" s="438"/>
      <c r="Q51" s="438"/>
      <c r="R51" s="438"/>
      <c r="S51" s="438"/>
      <c r="T51" s="438"/>
      <c r="U51" s="438"/>
      <c r="V51" s="438"/>
      <c r="W51" s="438"/>
      <c r="X51" s="438"/>
      <c r="Y51" s="438"/>
      <c r="Z51" s="438"/>
      <c r="AA51" s="438"/>
      <c r="AB51" s="438"/>
      <c r="AC51" s="438"/>
      <c r="AD51" s="438"/>
    </row>
    <row r="52" spans="1:30" x14ac:dyDescent="0.2">
      <c r="A52" s="438"/>
      <c r="B52" s="438"/>
      <c r="C52" s="438"/>
      <c r="D52" s="438"/>
      <c r="E52" s="438"/>
      <c r="F52" s="438"/>
      <c r="G52" s="438"/>
      <c r="H52" s="438"/>
      <c r="I52" s="438"/>
      <c r="J52" s="438"/>
      <c r="K52" s="438"/>
      <c r="L52" s="438"/>
      <c r="M52" s="438"/>
      <c r="N52" s="438"/>
      <c r="O52" s="438"/>
      <c r="P52" s="438"/>
      <c r="Q52" s="438"/>
      <c r="R52" s="438"/>
      <c r="S52" s="438"/>
      <c r="T52" s="438"/>
      <c r="U52" s="438"/>
      <c r="V52" s="438"/>
      <c r="W52" s="438"/>
      <c r="X52" s="438"/>
      <c r="Y52" s="438"/>
      <c r="Z52" s="438"/>
      <c r="AA52" s="438"/>
      <c r="AB52" s="438"/>
      <c r="AC52" s="438"/>
      <c r="AD52" s="438"/>
    </row>
    <row r="53" spans="1:30" x14ac:dyDescent="0.2">
      <c r="A53" s="438"/>
      <c r="B53" s="438"/>
      <c r="C53" s="438"/>
      <c r="D53" s="438"/>
      <c r="E53" s="438"/>
      <c r="F53" s="438"/>
      <c r="G53" s="438"/>
      <c r="H53" s="438"/>
      <c r="I53" s="438"/>
      <c r="J53" s="438"/>
      <c r="K53" s="438"/>
      <c r="L53" s="438"/>
      <c r="M53" s="438"/>
      <c r="N53" s="438"/>
      <c r="O53" s="438"/>
      <c r="P53" s="438"/>
      <c r="Q53" s="438"/>
      <c r="R53" s="438"/>
      <c r="S53" s="438"/>
      <c r="T53" s="438"/>
      <c r="U53" s="438"/>
      <c r="V53" s="438"/>
      <c r="W53" s="438"/>
      <c r="X53" s="438"/>
      <c r="Y53" s="438"/>
      <c r="Z53" s="438"/>
      <c r="AA53" s="438"/>
      <c r="AB53" s="438"/>
      <c r="AC53" s="438"/>
      <c r="AD53" s="438"/>
    </row>
    <row r="54" spans="1:30" x14ac:dyDescent="0.2">
      <c r="A54" s="438"/>
      <c r="B54" s="438"/>
      <c r="C54" s="438"/>
      <c r="D54" s="438"/>
      <c r="E54" s="438"/>
      <c r="F54" s="438"/>
      <c r="G54" s="438"/>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row>
    <row r="55" spans="1:30" x14ac:dyDescent="0.2">
      <c r="A55" s="438"/>
      <c r="B55" s="438"/>
      <c r="C55" s="438"/>
      <c r="D55" s="438"/>
      <c r="E55" s="438"/>
      <c r="F55" s="438"/>
      <c r="G55" s="438"/>
      <c r="H55" s="438"/>
      <c r="I55" s="438"/>
      <c r="J55" s="438"/>
      <c r="K55" s="438"/>
      <c r="L55" s="438"/>
      <c r="M55" s="438"/>
      <c r="N55" s="438"/>
      <c r="O55" s="438"/>
      <c r="P55" s="438"/>
      <c r="Q55" s="438"/>
      <c r="R55" s="438"/>
      <c r="S55" s="438"/>
      <c r="T55" s="438"/>
      <c r="U55" s="438"/>
      <c r="V55" s="438"/>
      <c r="W55" s="438"/>
      <c r="X55" s="438"/>
      <c r="Y55" s="438"/>
      <c r="Z55" s="438"/>
      <c r="AA55" s="438"/>
      <c r="AB55" s="438"/>
      <c r="AC55" s="438"/>
      <c r="AD55" s="438"/>
    </row>
    <row r="56" spans="1:30" x14ac:dyDescent="0.2">
      <c r="A56" s="438"/>
      <c r="B56" s="438"/>
      <c r="C56" s="438"/>
      <c r="D56" s="438"/>
      <c r="E56" s="438"/>
      <c r="F56" s="438"/>
      <c r="G56" s="438"/>
      <c r="H56" s="438"/>
      <c r="I56" s="438"/>
      <c r="J56" s="438"/>
      <c r="K56" s="438"/>
      <c r="L56" s="438"/>
      <c r="M56" s="438"/>
      <c r="N56" s="438"/>
      <c r="O56" s="438"/>
      <c r="P56" s="438"/>
      <c r="Q56" s="438"/>
      <c r="R56" s="438"/>
      <c r="S56" s="438"/>
      <c r="T56" s="438"/>
      <c r="U56" s="438"/>
      <c r="V56" s="438"/>
      <c r="W56" s="438"/>
      <c r="X56" s="438"/>
      <c r="Y56" s="438"/>
      <c r="Z56" s="438"/>
      <c r="AA56" s="438"/>
      <c r="AB56" s="438"/>
      <c r="AC56" s="438"/>
      <c r="AD56" s="438"/>
    </row>
    <row r="57" spans="1:30" x14ac:dyDescent="0.2">
      <c r="A57" s="438"/>
      <c r="B57" s="438"/>
      <c r="C57" s="438"/>
      <c r="D57" s="438"/>
      <c r="E57" s="438"/>
      <c r="F57" s="438"/>
      <c r="G57" s="438"/>
      <c r="H57" s="438"/>
      <c r="I57" s="438"/>
      <c r="J57" s="438"/>
      <c r="K57" s="438"/>
      <c r="L57" s="438"/>
      <c r="M57" s="438"/>
      <c r="N57" s="438"/>
      <c r="O57" s="438"/>
      <c r="P57" s="438"/>
      <c r="Q57" s="438"/>
      <c r="R57" s="438"/>
      <c r="S57" s="438"/>
      <c r="T57" s="438"/>
      <c r="U57" s="438"/>
      <c r="V57" s="438"/>
      <c r="W57" s="438"/>
      <c r="X57" s="438"/>
      <c r="Y57" s="438"/>
      <c r="Z57" s="438"/>
      <c r="AA57" s="438"/>
      <c r="AB57" s="438"/>
      <c r="AC57" s="438"/>
      <c r="AD57" s="438"/>
    </row>
    <row r="58" spans="1:30" x14ac:dyDescent="0.2">
      <c r="A58" s="438"/>
      <c r="B58" s="438"/>
      <c r="C58" s="438"/>
      <c r="D58" s="438"/>
      <c r="E58" s="438"/>
      <c r="F58" s="438"/>
      <c r="G58" s="438"/>
      <c r="H58" s="438"/>
      <c r="I58" s="438"/>
      <c r="J58" s="438"/>
      <c r="K58" s="438"/>
      <c r="L58" s="438"/>
      <c r="M58" s="438"/>
      <c r="N58" s="438"/>
      <c r="O58" s="438"/>
      <c r="P58" s="438"/>
      <c r="Q58" s="438"/>
      <c r="R58" s="438"/>
      <c r="S58" s="438"/>
      <c r="T58" s="438"/>
      <c r="U58" s="438"/>
      <c r="V58" s="438"/>
      <c r="W58" s="438"/>
      <c r="X58" s="438"/>
      <c r="Y58" s="438"/>
      <c r="Z58" s="438"/>
      <c r="AA58" s="438"/>
      <c r="AB58" s="438"/>
      <c r="AC58" s="438"/>
      <c r="AD58" s="438"/>
    </row>
    <row r="59" spans="1:30" x14ac:dyDescent="0.2">
      <c r="A59" s="438"/>
      <c r="B59" s="438"/>
      <c r="C59" s="438"/>
      <c r="D59" s="438"/>
      <c r="E59" s="438"/>
      <c r="F59" s="438"/>
      <c r="G59" s="438"/>
      <c r="H59" s="438"/>
      <c r="I59" s="438"/>
      <c r="J59" s="438"/>
      <c r="K59" s="438"/>
      <c r="L59" s="438"/>
      <c r="M59" s="438"/>
      <c r="N59" s="438"/>
      <c r="O59" s="438"/>
      <c r="P59" s="438"/>
      <c r="Q59" s="438"/>
      <c r="R59" s="438"/>
      <c r="S59" s="438"/>
      <c r="T59" s="438"/>
      <c r="U59" s="438"/>
      <c r="V59" s="438"/>
      <c r="W59" s="438"/>
      <c r="X59" s="438"/>
      <c r="Y59" s="438"/>
      <c r="Z59" s="438"/>
      <c r="AA59" s="438"/>
      <c r="AB59" s="438"/>
      <c r="AC59" s="438"/>
      <c r="AD59" s="438"/>
    </row>
    <row r="60" spans="1:30" x14ac:dyDescent="0.2">
      <c r="A60" s="438"/>
      <c r="B60" s="438"/>
      <c r="C60" s="438"/>
      <c r="D60" s="438"/>
      <c r="E60" s="438"/>
      <c r="F60" s="438"/>
      <c r="G60" s="438"/>
      <c r="H60" s="438"/>
      <c r="I60" s="438"/>
      <c r="J60" s="438"/>
      <c r="K60" s="438"/>
      <c r="L60" s="438"/>
      <c r="M60" s="438"/>
      <c r="N60" s="438"/>
      <c r="O60" s="438"/>
      <c r="P60" s="438"/>
      <c r="Q60" s="438"/>
      <c r="R60" s="438"/>
      <c r="S60" s="438"/>
      <c r="T60" s="438"/>
      <c r="U60" s="438"/>
      <c r="V60" s="438"/>
      <c r="W60" s="438"/>
      <c r="X60" s="438"/>
      <c r="Y60" s="438"/>
      <c r="Z60" s="438"/>
      <c r="AA60" s="438"/>
      <c r="AB60" s="438"/>
      <c r="AC60" s="438"/>
      <c r="AD60" s="438"/>
    </row>
    <row r="61" spans="1:30" x14ac:dyDescent="0.2">
      <c r="A61" s="438"/>
      <c r="B61" s="438"/>
      <c r="C61" s="438"/>
      <c r="D61" s="438"/>
      <c r="E61" s="438"/>
      <c r="F61" s="438"/>
      <c r="G61" s="438"/>
      <c r="H61" s="438"/>
      <c r="I61" s="438"/>
      <c r="J61" s="438"/>
      <c r="K61" s="438"/>
      <c r="L61" s="438"/>
      <c r="M61" s="438"/>
      <c r="N61" s="438"/>
      <c r="O61" s="438"/>
      <c r="P61" s="438"/>
      <c r="Q61" s="438"/>
      <c r="R61" s="438"/>
      <c r="S61" s="438"/>
      <c r="T61" s="438"/>
      <c r="U61" s="438"/>
      <c r="V61" s="438"/>
      <c r="W61" s="438"/>
      <c r="X61" s="438"/>
      <c r="Y61" s="438"/>
      <c r="Z61" s="438"/>
      <c r="AA61" s="438"/>
      <c r="AB61" s="438"/>
      <c r="AC61" s="438"/>
      <c r="AD61" s="438"/>
    </row>
    <row r="62" spans="1:30" x14ac:dyDescent="0.2">
      <c r="A62" s="438"/>
      <c r="B62" s="438"/>
      <c r="C62" s="438"/>
      <c r="D62" s="438"/>
      <c r="E62" s="438"/>
      <c r="F62" s="438"/>
      <c r="G62" s="438"/>
      <c r="H62" s="438"/>
      <c r="I62" s="438"/>
      <c r="J62" s="438"/>
      <c r="K62" s="438"/>
      <c r="L62" s="438"/>
      <c r="M62" s="438"/>
      <c r="N62" s="438"/>
      <c r="O62" s="438"/>
      <c r="P62" s="438"/>
      <c r="Q62" s="438"/>
      <c r="R62" s="438"/>
      <c r="S62" s="438"/>
      <c r="T62" s="438"/>
      <c r="U62" s="438"/>
      <c r="V62" s="438"/>
      <c r="W62" s="438"/>
      <c r="X62" s="438"/>
      <c r="Y62" s="438"/>
      <c r="Z62" s="438"/>
      <c r="AA62" s="438"/>
      <c r="AB62" s="438"/>
      <c r="AC62" s="438"/>
      <c r="AD62" s="438"/>
    </row>
    <row r="63" spans="1:30" x14ac:dyDescent="0.2">
      <c r="A63" s="438"/>
      <c r="B63" s="438"/>
      <c r="C63" s="438"/>
      <c r="D63" s="438"/>
      <c r="E63" s="438"/>
      <c r="F63" s="438"/>
      <c r="G63" s="438"/>
      <c r="H63" s="438"/>
      <c r="I63" s="438"/>
      <c r="J63" s="438"/>
      <c r="K63" s="438"/>
      <c r="L63" s="438"/>
      <c r="M63" s="438"/>
      <c r="N63" s="438"/>
      <c r="O63" s="438"/>
      <c r="P63" s="438"/>
      <c r="Q63" s="438"/>
      <c r="R63" s="438"/>
      <c r="S63" s="438"/>
      <c r="T63" s="438"/>
      <c r="U63" s="438"/>
      <c r="V63" s="438"/>
      <c r="W63" s="438"/>
      <c r="X63" s="438"/>
      <c r="Y63" s="438"/>
      <c r="Z63" s="438"/>
      <c r="AA63" s="438"/>
      <c r="AB63" s="438"/>
      <c r="AC63" s="438"/>
      <c r="AD63" s="438"/>
    </row>
    <row r="64" spans="1:30" x14ac:dyDescent="0.2">
      <c r="A64" s="438"/>
      <c r="B64" s="438"/>
      <c r="C64" s="438"/>
      <c r="D64" s="438"/>
      <c r="E64" s="438"/>
      <c r="F64" s="438"/>
      <c r="G64" s="438"/>
      <c r="H64" s="438"/>
      <c r="I64" s="438"/>
      <c r="J64" s="438"/>
      <c r="K64" s="438"/>
      <c r="L64" s="438"/>
      <c r="M64" s="438"/>
      <c r="N64" s="438"/>
      <c r="O64" s="438"/>
      <c r="P64" s="438"/>
      <c r="Q64" s="438"/>
      <c r="R64" s="438"/>
      <c r="S64" s="438"/>
      <c r="T64" s="438"/>
      <c r="U64" s="438"/>
      <c r="V64" s="438"/>
      <c r="W64" s="438"/>
      <c r="X64" s="438"/>
      <c r="Y64" s="438"/>
      <c r="Z64" s="438"/>
      <c r="AA64" s="438"/>
      <c r="AB64" s="438"/>
      <c r="AC64" s="438"/>
      <c r="AD64" s="438"/>
    </row>
    <row r="65" spans="1:30" x14ac:dyDescent="0.2">
      <c r="A65" s="438"/>
      <c r="B65" s="438"/>
      <c r="C65" s="438"/>
      <c r="D65" s="438"/>
      <c r="E65" s="438"/>
      <c r="F65" s="438"/>
      <c r="G65" s="438"/>
      <c r="H65" s="438"/>
      <c r="I65" s="438"/>
      <c r="J65" s="438"/>
      <c r="K65" s="438"/>
      <c r="L65" s="438"/>
      <c r="M65" s="438"/>
      <c r="N65" s="438"/>
      <c r="O65" s="438"/>
      <c r="P65" s="438"/>
      <c r="Q65" s="438"/>
      <c r="R65" s="438"/>
      <c r="S65" s="438"/>
      <c r="T65" s="438"/>
      <c r="U65" s="438"/>
      <c r="V65" s="438"/>
      <c r="W65" s="438"/>
      <c r="X65" s="438"/>
      <c r="Y65" s="438"/>
      <c r="Z65" s="438"/>
      <c r="AA65" s="438"/>
      <c r="AB65" s="438"/>
      <c r="AC65" s="438"/>
      <c r="AD65" s="438"/>
    </row>
    <row r="66" spans="1:30" x14ac:dyDescent="0.2">
      <c r="A66" s="438"/>
      <c r="B66" s="438"/>
      <c r="C66" s="438"/>
      <c r="D66" s="438"/>
      <c r="E66" s="438"/>
      <c r="F66" s="438"/>
      <c r="G66" s="438"/>
      <c r="H66" s="438"/>
      <c r="I66" s="438"/>
      <c r="J66" s="438"/>
      <c r="K66" s="438"/>
      <c r="L66" s="438"/>
      <c r="M66" s="438"/>
      <c r="N66" s="438"/>
      <c r="O66" s="438"/>
      <c r="P66" s="438"/>
      <c r="Q66" s="438"/>
      <c r="R66" s="438"/>
      <c r="S66" s="438"/>
      <c r="T66" s="438"/>
      <c r="U66" s="438"/>
      <c r="V66" s="438"/>
      <c r="W66" s="438"/>
      <c r="X66" s="438"/>
      <c r="Y66" s="438"/>
      <c r="Z66" s="438"/>
      <c r="AA66" s="438"/>
      <c r="AB66" s="438"/>
      <c r="AC66" s="438"/>
      <c r="AD66" s="438"/>
    </row>
    <row r="67" spans="1:30" x14ac:dyDescent="0.2">
      <c r="A67" s="438"/>
      <c r="B67" s="438"/>
      <c r="C67" s="438"/>
      <c r="D67" s="438"/>
      <c r="E67" s="438"/>
      <c r="F67" s="438"/>
      <c r="G67" s="438"/>
      <c r="H67" s="438"/>
      <c r="I67" s="438"/>
      <c r="J67" s="438"/>
      <c r="K67" s="438"/>
      <c r="L67" s="438"/>
      <c r="M67" s="438"/>
      <c r="N67" s="438"/>
      <c r="O67" s="438"/>
      <c r="P67" s="438"/>
      <c r="Q67" s="438"/>
      <c r="R67" s="438"/>
      <c r="S67" s="438"/>
      <c r="T67" s="438"/>
      <c r="U67" s="438"/>
      <c r="V67" s="438"/>
      <c r="W67" s="438"/>
      <c r="X67" s="438"/>
      <c r="Y67" s="438"/>
      <c r="Z67" s="438"/>
      <c r="AA67" s="438"/>
      <c r="AB67" s="438"/>
      <c r="AC67" s="438"/>
      <c r="AD67" s="438"/>
    </row>
    <row r="68" spans="1:30" x14ac:dyDescent="0.2">
      <c r="A68" s="438"/>
      <c r="B68" s="438"/>
      <c r="C68" s="438"/>
      <c r="D68" s="438"/>
      <c r="E68" s="438"/>
      <c r="F68" s="438"/>
      <c r="G68" s="438"/>
      <c r="H68" s="438"/>
      <c r="I68" s="438"/>
      <c r="J68" s="438"/>
      <c r="K68" s="438"/>
      <c r="L68" s="438"/>
      <c r="M68" s="438"/>
      <c r="N68" s="438"/>
      <c r="O68" s="438"/>
      <c r="P68" s="438"/>
      <c r="Q68" s="438"/>
      <c r="R68" s="438"/>
      <c r="S68" s="438"/>
      <c r="T68" s="438"/>
      <c r="U68" s="438"/>
      <c r="V68" s="438"/>
      <c r="W68" s="438"/>
      <c r="X68" s="438"/>
      <c r="Y68" s="438"/>
      <c r="Z68" s="438"/>
      <c r="AA68" s="438"/>
      <c r="AB68" s="438"/>
      <c r="AC68" s="438"/>
      <c r="AD68" s="438"/>
    </row>
    <row r="69" spans="1:30" x14ac:dyDescent="0.2">
      <c r="A69" s="438"/>
      <c r="B69" s="438"/>
      <c r="C69" s="438"/>
      <c r="D69" s="438"/>
      <c r="E69" s="438"/>
      <c r="F69" s="438"/>
      <c r="G69" s="438"/>
      <c r="H69" s="438"/>
      <c r="I69" s="438"/>
      <c r="J69" s="438"/>
      <c r="K69" s="438"/>
      <c r="L69" s="438"/>
      <c r="M69" s="438"/>
      <c r="N69" s="438"/>
      <c r="O69" s="438"/>
      <c r="P69" s="438"/>
      <c r="Q69" s="438"/>
      <c r="R69" s="438"/>
      <c r="S69" s="438"/>
      <c r="T69" s="438"/>
      <c r="U69" s="438"/>
      <c r="V69" s="438"/>
      <c r="W69" s="438"/>
      <c r="X69" s="438"/>
      <c r="Y69" s="438"/>
      <c r="Z69" s="438"/>
      <c r="AA69" s="438"/>
      <c r="AB69" s="438"/>
      <c r="AC69" s="438"/>
      <c r="AD69" s="438"/>
    </row>
    <row r="70" spans="1:30" x14ac:dyDescent="0.2">
      <c r="A70" s="438"/>
      <c r="B70" s="438"/>
      <c r="C70" s="438"/>
      <c r="D70" s="438"/>
      <c r="E70" s="438"/>
      <c r="F70" s="438"/>
      <c r="G70" s="438"/>
      <c r="H70" s="438"/>
      <c r="I70" s="438"/>
      <c r="J70" s="438"/>
      <c r="K70" s="438"/>
      <c r="L70" s="438"/>
      <c r="M70" s="438"/>
      <c r="N70" s="438"/>
      <c r="O70" s="438"/>
      <c r="P70" s="438"/>
      <c r="Q70" s="438"/>
      <c r="R70" s="438"/>
      <c r="S70" s="438"/>
      <c r="T70" s="438"/>
      <c r="U70" s="438"/>
      <c r="V70" s="438"/>
      <c r="W70" s="438"/>
      <c r="X70" s="438"/>
      <c r="Y70" s="438"/>
      <c r="Z70" s="438"/>
      <c r="AA70" s="438"/>
      <c r="AB70" s="438"/>
      <c r="AC70" s="438"/>
      <c r="AD70" s="438"/>
    </row>
    <row r="71" spans="1:30" x14ac:dyDescent="0.2">
      <c r="A71" s="438"/>
      <c r="B71" s="438"/>
      <c r="C71" s="438"/>
      <c r="D71" s="438"/>
      <c r="E71" s="438"/>
      <c r="F71" s="438"/>
      <c r="G71" s="438"/>
      <c r="H71" s="438"/>
      <c r="I71" s="438"/>
      <c r="J71" s="438"/>
      <c r="K71" s="438"/>
      <c r="L71" s="438"/>
      <c r="M71" s="438"/>
      <c r="N71" s="438"/>
      <c r="O71" s="438"/>
      <c r="P71" s="438"/>
      <c r="Q71" s="438"/>
      <c r="R71" s="438"/>
      <c r="S71" s="438"/>
      <c r="T71" s="438"/>
      <c r="U71" s="438"/>
      <c r="V71" s="438"/>
      <c r="W71" s="438"/>
      <c r="X71" s="438"/>
      <c r="Y71" s="438"/>
      <c r="Z71" s="438"/>
      <c r="AA71" s="438"/>
      <c r="AB71" s="438"/>
      <c r="AC71" s="438"/>
      <c r="AD71" s="438"/>
    </row>
    <row r="72" spans="1:30" x14ac:dyDescent="0.2">
      <c r="A72" s="438"/>
      <c r="B72" s="438"/>
      <c r="C72" s="438"/>
      <c r="D72" s="438"/>
      <c r="E72" s="438"/>
      <c r="F72" s="438"/>
      <c r="G72" s="438"/>
      <c r="H72" s="438"/>
      <c r="I72" s="438"/>
      <c r="J72" s="438"/>
      <c r="K72" s="438"/>
      <c r="L72" s="438"/>
      <c r="M72" s="438"/>
      <c r="N72" s="438"/>
      <c r="O72" s="438"/>
      <c r="P72" s="438"/>
      <c r="Q72" s="438"/>
      <c r="R72" s="438"/>
      <c r="S72" s="438"/>
      <c r="T72" s="438"/>
      <c r="U72" s="438"/>
      <c r="V72" s="438"/>
      <c r="W72" s="438"/>
      <c r="X72" s="438"/>
      <c r="Y72" s="438"/>
      <c r="Z72" s="438"/>
      <c r="AA72" s="438"/>
      <c r="AB72" s="438"/>
      <c r="AC72" s="438"/>
      <c r="AD72" s="438"/>
    </row>
    <row r="73" spans="1:30" x14ac:dyDescent="0.2">
      <c r="A73" s="438"/>
      <c r="B73" s="438"/>
      <c r="C73" s="438"/>
      <c r="D73" s="438"/>
      <c r="E73" s="438"/>
      <c r="F73" s="438"/>
      <c r="G73" s="438"/>
      <c r="H73" s="438"/>
      <c r="I73" s="438"/>
      <c r="J73" s="438"/>
      <c r="K73" s="438"/>
      <c r="L73" s="438"/>
      <c r="M73" s="438"/>
      <c r="N73" s="438"/>
      <c r="O73" s="438"/>
      <c r="P73" s="438"/>
      <c r="Q73" s="438"/>
      <c r="R73" s="438"/>
      <c r="S73" s="438"/>
      <c r="T73" s="438"/>
      <c r="U73" s="438"/>
      <c r="V73" s="438"/>
      <c r="W73" s="438"/>
      <c r="X73" s="438"/>
      <c r="Y73" s="438"/>
      <c r="Z73" s="438"/>
      <c r="AA73" s="438"/>
      <c r="AB73" s="438"/>
      <c r="AC73" s="438"/>
      <c r="AD73" s="438"/>
    </row>
    <row r="74" spans="1:30" x14ac:dyDescent="0.2">
      <c r="A74" s="438"/>
      <c r="B74" s="438"/>
      <c r="C74" s="438"/>
      <c r="D74" s="438"/>
      <c r="E74" s="438"/>
      <c r="F74" s="438"/>
      <c r="G74" s="438"/>
      <c r="H74" s="438"/>
      <c r="I74" s="438"/>
      <c r="J74" s="438"/>
      <c r="K74" s="438"/>
      <c r="L74" s="438"/>
      <c r="M74" s="438"/>
      <c r="N74" s="438"/>
      <c r="O74" s="438"/>
      <c r="P74" s="438"/>
      <c r="Q74" s="438"/>
      <c r="R74" s="438"/>
      <c r="S74" s="438"/>
      <c r="T74" s="438"/>
      <c r="U74" s="438"/>
      <c r="V74" s="438"/>
      <c r="W74" s="438"/>
      <c r="X74" s="438"/>
      <c r="Y74" s="438"/>
      <c r="Z74" s="438"/>
      <c r="AA74" s="438"/>
      <c r="AB74" s="438"/>
      <c r="AC74" s="438"/>
      <c r="AD74" s="438"/>
    </row>
    <row r="75" spans="1:30" x14ac:dyDescent="0.2">
      <c r="A75" s="438"/>
      <c r="B75" s="438"/>
      <c r="C75" s="438"/>
      <c r="D75" s="438"/>
      <c r="E75" s="438"/>
      <c r="F75" s="438"/>
      <c r="G75" s="438"/>
      <c r="H75" s="438"/>
      <c r="I75" s="438"/>
      <c r="J75" s="438"/>
      <c r="K75" s="438"/>
      <c r="L75" s="438"/>
      <c r="M75" s="438"/>
      <c r="N75" s="438"/>
      <c r="O75" s="438"/>
      <c r="P75" s="438"/>
      <c r="Q75" s="438"/>
      <c r="R75" s="438"/>
      <c r="S75" s="438"/>
      <c r="T75" s="438"/>
      <c r="U75" s="438"/>
      <c r="V75" s="438"/>
      <c r="W75" s="438"/>
      <c r="X75" s="438"/>
      <c r="Y75" s="438"/>
      <c r="Z75" s="438"/>
      <c r="AA75" s="438"/>
      <c r="AB75" s="438"/>
      <c r="AC75" s="438"/>
      <c r="AD75" s="438"/>
    </row>
    <row r="76" spans="1:30" x14ac:dyDescent="0.2">
      <c r="A76" s="438"/>
      <c r="B76" s="438"/>
      <c r="C76" s="438"/>
      <c r="D76" s="438"/>
      <c r="E76" s="438"/>
      <c r="F76" s="438"/>
      <c r="G76" s="438"/>
      <c r="H76" s="438"/>
      <c r="I76" s="438"/>
      <c r="J76" s="438"/>
      <c r="K76" s="438"/>
      <c r="L76" s="438"/>
      <c r="M76" s="438"/>
      <c r="N76" s="438"/>
      <c r="O76" s="438"/>
      <c r="P76" s="438"/>
      <c r="Q76" s="438"/>
      <c r="R76" s="438"/>
      <c r="S76" s="438"/>
      <c r="T76" s="438"/>
      <c r="U76" s="438"/>
      <c r="V76" s="438"/>
      <c r="W76" s="438"/>
      <c r="X76" s="438"/>
      <c r="Y76" s="438"/>
      <c r="Z76" s="438"/>
      <c r="AA76" s="438"/>
      <c r="AB76" s="438"/>
      <c r="AC76" s="438"/>
      <c r="AD76" s="438"/>
    </row>
    <row r="77" spans="1:30" x14ac:dyDescent="0.2">
      <c r="A77" s="438"/>
      <c r="B77" s="438"/>
      <c r="C77" s="438"/>
      <c r="D77" s="438"/>
      <c r="E77" s="438"/>
      <c r="F77" s="438"/>
      <c r="G77" s="438"/>
      <c r="H77" s="438"/>
      <c r="I77" s="438"/>
      <c r="J77" s="438"/>
      <c r="K77" s="438"/>
      <c r="L77" s="438"/>
      <c r="M77" s="438"/>
      <c r="N77" s="438"/>
      <c r="O77" s="438"/>
      <c r="P77" s="438"/>
      <c r="Q77" s="438"/>
      <c r="R77" s="438"/>
      <c r="S77" s="438"/>
      <c r="T77" s="438"/>
      <c r="U77" s="438"/>
      <c r="V77" s="438"/>
      <c r="W77" s="438"/>
      <c r="X77" s="438"/>
      <c r="Y77" s="438"/>
      <c r="Z77" s="438"/>
      <c r="AA77" s="438"/>
      <c r="AB77" s="438"/>
      <c r="AC77" s="438"/>
      <c r="AD77" s="438"/>
    </row>
    <row r="78" spans="1:30" x14ac:dyDescent="0.2">
      <c r="A78" s="438"/>
      <c r="B78" s="438"/>
      <c r="C78" s="438"/>
      <c r="D78" s="438"/>
      <c r="E78" s="438"/>
      <c r="F78" s="438"/>
      <c r="G78" s="438"/>
      <c r="H78" s="438"/>
      <c r="I78" s="438"/>
      <c r="J78" s="438"/>
      <c r="K78" s="438"/>
      <c r="L78" s="438"/>
      <c r="M78" s="438"/>
      <c r="N78" s="438"/>
      <c r="O78" s="438"/>
      <c r="P78" s="438"/>
      <c r="Q78" s="438"/>
      <c r="R78" s="438"/>
      <c r="S78" s="438"/>
      <c r="T78" s="438"/>
      <c r="U78" s="438"/>
      <c r="V78" s="438"/>
      <c r="W78" s="438"/>
      <c r="X78" s="438"/>
      <c r="Y78" s="438"/>
      <c r="Z78" s="438"/>
      <c r="AA78" s="438"/>
      <c r="AB78" s="438"/>
      <c r="AC78" s="438"/>
      <c r="AD78" s="438"/>
    </row>
    <row r="79" spans="1:30" x14ac:dyDescent="0.2">
      <c r="A79" s="438"/>
      <c r="B79" s="438"/>
      <c r="C79" s="438"/>
      <c r="D79" s="438"/>
      <c r="E79" s="438"/>
      <c r="F79" s="438"/>
      <c r="G79" s="438"/>
      <c r="H79" s="438"/>
      <c r="I79" s="438"/>
      <c r="J79" s="438"/>
      <c r="K79" s="438"/>
      <c r="L79" s="438"/>
      <c r="M79" s="438"/>
      <c r="N79" s="438"/>
      <c r="O79" s="438"/>
      <c r="P79" s="438"/>
      <c r="Q79" s="438"/>
      <c r="R79" s="438"/>
      <c r="S79" s="438"/>
      <c r="T79" s="438"/>
      <c r="U79" s="438"/>
      <c r="V79" s="438"/>
      <c r="W79" s="438"/>
      <c r="X79" s="438"/>
      <c r="Y79" s="438"/>
      <c r="Z79" s="438"/>
      <c r="AA79" s="438"/>
      <c r="AB79" s="438"/>
      <c r="AC79" s="438"/>
      <c r="AD79" s="438"/>
    </row>
    <row r="80" spans="1:30" x14ac:dyDescent="0.2">
      <c r="A80" s="438"/>
      <c r="B80" s="438"/>
      <c r="C80" s="438"/>
      <c r="D80" s="438"/>
      <c r="E80" s="438"/>
      <c r="F80" s="438"/>
      <c r="G80" s="438"/>
      <c r="H80" s="438"/>
      <c r="I80" s="438"/>
      <c r="J80" s="438"/>
      <c r="K80" s="438"/>
      <c r="L80" s="438"/>
      <c r="M80" s="438"/>
      <c r="N80" s="438"/>
      <c r="O80" s="438"/>
      <c r="P80" s="438"/>
      <c r="Q80" s="438"/>
      <c r="R80" s="438"/>
      <c r="S80" s="438"/>
      <c r="T80" s="438"/>
      <c r="U80" s="438"/>
      <c r="V80" s="438"/>
      <c r="W80" s="438"/>
      <c r="X80" s="438"/>
      <c r="Y80" s="438"/>
      <c r="Z80" s="438"/>
      <c r="AA80" s="438"/>
      <c r="AB80" s="438"/>
      <c r="AC80" s="438"/>
      <c r="AD80" s="438"/>
    </row>
    <row r="81" spans="1:30" x14ac:dyDescent="0.2">
      <c r="A81" s="438"/>
      <c r="B81" s="438"/>
      <c r="C81" s="438"/>
      <c r="D81" s="438"/>
      <c r="E81" s="438"/>
      <c r="F81" s="438"/>
      <c r="G81" s="438"/>
      <c r="H81" s="438"/>
      <c r="I81" s="438"/>
      <c r="J81" s="438"/>
      <c r="K81" s="438"/>
      <c r="L81" s="438"/>
      <c r="M81" s="438"/>
      <c r="N81" s="438"/>
      <c r="O81" s="438"/>
      <c r="P81" s="438"/>
      <c r="Q81" s="438"/>
      <c r="R81" s="438"/>
      <c r="S81" s="438"/>
      <c r="T81" s="438"/>
      <c r="U81" s="438"/>
      <c r="V81" s="438"/>
      <c r="W81" s="438"/>
      <c r="X81" s="438"/>
      <c r="Y81" s="438"/>
      <c r="Z81" s="438"/>
      <c r="AA81" s="438"/>
      <c r="AB81" s="438"/>
      <c r="AC81" s="438"/>
      <c r="AD81" s="438"/>
    </row>
    <row r="82" spans="1:30" x14ac:dyDescent="0.2">
      <c r="A82" s="438"/>
      <c r="B82" s="438"/>
      <c r="C82" s="438"/>
      <c r="D82" s="438"/>
      <c r="E82" s="438"/>
      <c r="F82" s="438"/>
      <c r="G82" s="438"/>
      <c r="H82" s="438"/>
      <c r="I82" s="438"/>
      <c r="J82" s="438"/>
      <c r="K82" s="438"/>
      <c r="L82" s="438"/>
      <c r="M82" s="438"/>
      <c r="N82" s="438"/>
      <c r="O82" s="438"/>
      <c r="P82" s="438"/>
      <c r="Q82" s="438"/>
      <c r="R82" s="438"/>
      <c r="S82" s="438"/>
      <c r="T82" s="438"/>
      <c r="U82" s="438"/>
      <c r="V82" s="438"/>
      <c r="W82" s="438"/>
      <c r="X82" s="438"/>
      <c r="Y82" s="438"/>
      <c r="Z82" s="438"/>
      <c r="AA82" s="438"/>
      <c r="AB82" s="438"/>
      <c r="AC82" s="438"/>
      <c r="AD82" s="438"/>
    </row>
    <row r="83" spans="1:30" x14ac:dyDescent="0.2">
      <c r="A83" s="438"/>
      <c r="B83" s="438"/>
      <c r="C83" s="438"/>
      <c r="D83" s="438"/>
      <c r="E83" s="438"/>
      <c r="F83" s="438"/>
      <c r="G83" s="438"/>
      <c r="H83" s="438"/>
      <c r="I83" s="438"/>
      <c r="J83" s="438"/>
      <c r="K83" s="438"/>
      <c r="L83" s="438"/>
      <c r="M83" s="438"/>
      <c r="N83" s="438"/>
      <c r="O83" s="438"/>
      <c r="P83" s="438"/>
      <c r="Q83" s="438"/>
      <c r="R83" s="438"/>
      <c r="S83" s="438"/>
      <c r="T83" s="438"/>
      <c r="U83" s="438"/>
      <c r="V83" s="438"/>
      <c r="W83" s="438"/>
      <c r="X83" s="438"/>
      <c r="Y83" s="438"/>
      <c r="Z83" s="438"/>
      <c r="AA83" s="438"/>
      <c r="AB83" s="438"/>
      <c r="AC83" s="438"/>
      <c r="AD83" s="438"/>
    </row>
    <row r="84" spans="1:30" x14ac:dyDescent="0.2">
      <c r="A84" s="438"/>
      <c r="B84" s="438"/>
      <c r="C84" s="438"/>
      <c r="D84" s="438"/>
      <c r="E84" s="438"/>
      <c r="F84" s="438"/>
      <c r="G84" s="438"/>
      <c r="H84" s="438"/>
      <c r="I84" s="438"/>
      <c r="J84" s="438"/>
      <c r="K84" s="438"/>
      <c r="L84" s="438"/>
      <c r="M84" s="438"/>
      <c r="N84" s="438"/>
      <c r="O84" s="438"/>
      <c r="P84" s="438"/>
      <c r="Q84" s="438"/>
      <c r="R84" s="438"/>
      <c r="S84" s="438"/>
      <c r="T84" s="438"/>
      <c r="U84" s="438"/>
      <c r="V84" s="438"/>
      <c r="W84" s="438"/>
      <c r="X84" s="438"/>
      <c r="Y84" s="438"/>
      <c r="Z84" s="438"/>
      <c r="AA84" s="438"/>
      <c r="AB84" s="438"/>
      <c r="AC84" s="438"/>
      <c r="AD84" s="438"/>
    </row>
    <row r="85" spans="1:30" x14ac:dyDescent="0.2">
      <c r="A85" s="438"/>
      <c r="B85" s="438"/>
      <c r="C85" s="438"/>
      <c r="D85" s="438"/>
      <c r="E85" s="438"/>
      <c r="F85" s="438"/>
      <c r="G85" s="438"/>
      <c r="H85" s="438"/>
      <c r="I85" s="438"/>
      <c r="J85" s="438"/>
      <c r="K85" s="438"/>
      <c r="L85" s="438"/>
      <c r="M85" s="438"/>
      <c r="N85" s="438"/>
      <c r="O85" s="438"/>
      <c r="P85" s="438"/>
      <c r="Q85" s="438"/>
      <c r="R85" s="438"/>
      <c r="S85" s="438"/>
      <c r="T85" s="438"/>
      <c r="U85" s="438"/>
      <c r="V85" s="438"/>
      <c r="W85" s="438"/>
      <c r="X85" s="438"/>
      <c r="Y85" s="438"/>
      <c r="Z85" s="438"/>
      <c r="AA85" s="438"/>
      <c r="AB85" s="438"/>
      <c r="AC85" s="438"/>
      <c r="AD85" s="438"/>
    </row>
    <row r="86" spans="1:30" x14ac:dyDescent="0.2">
      <c r="A86" s="438"/>
      <c r="B86" s="438"/>
      <c r="C86" s="438"/>
      <c r="D86" s="438"/>
      <c r="E86" s="438"/>
      <c r="F86" s="438"/>
      <c r="G86" s="438"/>
      <c r="H86" s="438"/>
      <c r="I86" s="438"/>
      <c r="J86" s="438"/>
      <c r="K86" s="438"/>
      <c r="L86" s="438"/>
      <c r="M86" s="438"/>
      <c r="N86" s="438"/>
      <c r="O86" s="438"/>
      <c r="P86" s="438"/>
      <c r="Q86" s="438"/>
      <c r="R86" s="438"/>
      <c r="S86" s="438"/>
      <c r="T86" s="438"/>
      <c r="U86" s="438"/>
      <c r="V86" s="438"/>
      <c r="W86" s="438"/>
      <c r="X86" s="438"/>
      <c r="Y86" s="438"/>
      <c r="Z86" s="438"/>
      <c r="AA86" s="438"/>
      <c r="AB86" s="438"/>
      <c r="AC86" s="438"/>
      <c r="AD86" s="438"/>
    </row>
    <row r="87" spans="1:30" x14ac:dyDescent="0.2">
      <c r="A87" s="438"/>
      <c r="B87" s="438"/>
      <c r="C87" s="438"/>
      <c r="D87" s="438"/>
      <c r="E87" s="438"/>
      <c r="F87" s="438"/>
      <c r="G87" s="438"/>
      <c r="H87" s="438"/>
      <c r="I87" s="438"/>
      <c r="J87" s="438"/>
      <c r="K87" s="438"/>
      <c r="L87" s="438"/>
      <c r="M87" s="438"/>
      <c r="N87" s="438"/>
      <c r="O87" s="438"/>
      <c r="P87" s="438"/>
      <c r="Q87" s="438"/>
      <c r="R87" s="438"/>
      <c r="S87" s="438"/>
      <c r="T87" s="438"/>
      <c r="U87" s="438"/>
      <c r="V87" s="438"/>
      <c r="W87" s="438"/>
      <c r="X87" s="438"/>
      <c r="Y87" s="438"/>
      <c r="Z87" s="438"/>
      <c r="AA87" s="438"/>
      <c r="AB87" s="438"/>
      <c r="AC87" s="438"/>
      <c r="AD87" s="438"/>
    </row>
  </sheetData>
  <sheetProtection algorithmName="SHA-512" hashValue="ml+aqerGHLhfPoRdMQDVKioxABHbLR1Uahn8VhV9rVIgO/OgeV+bjx/qAte80cSc0eNKM6AdomMyZWmP7B/Nvw==" saltValue="g9063BzTSz3ODMhw+w7XQQ==" spinCount="100000" sheet="1" objects="1" scenarios="1" selectLockedCells="1"/>
  <mergeCells count="6">
    <mergeCell ref="B1:Y2"/>
    <mergeCell ref="B8:F8"/>
    <mergeCell ref="G8:K8"/>
    <mergeCell ref="L8:R8"/>
    <mergeCell ref="S8:X8"/>
    <mergeCell ref="Y8:AA8"/>
  </mergeCells>
  <conditionalFormatting sqref="D34">
    <cfRule type="cellIs" dxfId="70" priority="9" operator="equal">
      <formula>"Nein"</formula>
    </cfRule>
    <cfRule type="cellIs" dxfId="69" priority="10" operator="equal">
      <formula>"Ja"</formula>
    </cfRule>
    <cfRule type="cellIs" dxfId="68" priority="11" operator="equal">
      <formula>"Nein"</formula>
    </cfRule>
  </conditionalFormatting>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expression" priority="8" id="{040AD6AC-7AB6-4051-A9BD-EE468B37442B}">
            <xm:f>Eingabe!$A$13=FALSE</xm:f>
            <x14:dxf>
              <font>
                <color theme="0"/>
              </font>
              <fill>
                <patternFill>
                  <fgColor theme="0"/>
                  <bgColor theme="0"/>
                </patternFill>
              </fill>
              <border>
                <left/>
                <right/>
                <top/>
                <bottom/>
                <vertical/>
                <horizontal/>
              </border>
            </x14:dxf>
          </x14:cfRule>
          <xm:sqref>B12:AA12</xm:sqref>
        </x14:conditionalFormatting>
        <x14:conditionalFormatting xmlns:xm="http://schemas.microsoft.com/office/excel/2006/main">
          <x14:cfRule type="expression" priority="7" id="{2C8CA307-B97F-4B13-9FEC-12BD9FAA8693}">
            <xm:f>Eingabe!$A$14=FALSE</xm:f>
            <x14:dxf>
              <font>
                <color theme="0"/>
              </font>
              <fill>
                <patternFill>
                  <fgColor theme="0"/>
                  <bgColor theme="0"/>
                </patternFill>
              </fill>
              <border>
                <left/>
                <right/>
                <top/>
                <bottom/>
                <vertical/>
                <horizontal/>
              </border>
            </x14:dxf>
          </x14:cfRule>
          <xm:sqref>B13:AA13</xm:sqref>
        </x14:conditionalFormatting>
        <x14:conditionalFormatting xmlns:xm="http://schemas.microsoft.com/office/excel/2006/main">
          <x14:cfRule type="expression" priority="2" id="{344AD3F2-FF20-45C3-9394-44D4C5D61EB2}">
            <xm:f>Eingabe!$A$13=FALSE</xm:f>
            <x14:dxf>
              <font>
                <color theme="0"/>
              </font>
              <fill>
                <patternFill>
                  <fgColor theme="0"/>
                  <bgColor theme="0"/>
                </patternFill>
              </fill>
              <border>
                <left/>
                <right/>
                <top/>
                <bottom/>
                <vertical/>
                <horizontal/>
              </border>
            </x14:dxf>
          </x14:cfRule>
          <xm:sqref>B16:AA16</xm:sqref>
        </x14:conditionalFormatting>
        <x14:conditionalFormatting xmlns:xm="http://schemas.microsoft.com/office/excel/2006/main">
          <x14:cfRule type="expression" priority="1" id="{57F0A5A8-710F-420A-AA6B-01A1F18809E0}">
            <xm:f>Eingabe!$A$14=FALSE</xm:f>
            <x14:dxf>
              <font>
                <color theme="0"/>
              </font>
              <fill>
                <patternFill>
                  <fgColor theme="0"/>
                  <bgColor theme="0"/>
                </patternFill>
              </fill>
              <border>
                <left/>
                <right/>
                <top/>
                <bottom/>
                <vertical/>
                <horizontal/>
              </border>
            </x14:dxf>
          </x14:cfRule>
          <xm:sqref>B17:AA17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2860-F832-439D-8FAC-37EC25C24E27}">
  <sheetPr>
    <tabColor rgb="FFC7E16A"/>
  </sheetPr>
  <dimension ref="A1:D68"/>
  <sheetViews>
    <sheetView zoomScale="70" zoomScaleNormal="70" workbookViewId="0">
      <selection activeCell="A40" sqref="A40"/>
    </sheetView>
  </sheetViews>
  <sheetFormatPr baseColWidth="10" defaultRowHeight="12.75" x14ac:dyDescent="0.2"/>
  <cols>
    <col min="1" max="1" width="34.42578125" customWidth="1"/>
    <col min="2" max="2" width="15.42578125" customWidth="1"/>
    <col min="3" max="3" width="16.28515625" customWidth="1"/>
    <col min="4" max="4" width="15.140625" customWidth="1"/>
  </cols>
  <sheetData>
    <row r="1" spans="1:4" x14ac:dyDescent="0.2">
      <c r="A1" s="117"/>
      <c r="B1" s="689" t="s">
        <v>406</v>
      </c>
      <c r="C1" s="690"/>
      <c r="D1" s="691"/>
    </row>
    <row r="2" spans="1:4" x14ac:dyDescent="0.2">
      <c r="A2" s="117"/>
      <c r="B2" s="172" t="s">
        <v>315</v>
      </c>
      <c r="C2" s="172" t="s">
        <v>145</v>
      </c>
      <c r="D2" s="172" t="s">
        <v>146</v>
      </c>
    </row>
    <row r="3" spans="1:4" x14ac:dyDescent="0.2">
      <c r="A3" s="117"/>
      <c r="B3" s="172" t="s">
        <v>401</v>
      </c>
      <c r="C3" s="172" t="s">
        <v>402</v>
      </c>
      <c r="D3" s="172" t="s">
        <v>403</v>
      </c>
    </row>
    <row r="4" spans="1:4" x14ac:dyDescent="0.2">
      <c r="A4" s="90" t="s">
        <v>6</v>
      </c>
      <c r="B4" s="90">
        <f>Eingabe!D24</f>
        <v>12.2</v>
      </c>
      <c r="C4" s="90">
        <f>Eingabe!D24-Eingabe!E26</f>
        <v>5.9999999999999991</v>
      </c>
      <c r="D4" s="90">
        <f>Eingabe!D24+Eingabe!E27</f>
        <v>17.2</v>
      </c>
    </row>
    <row r="5" spans="1:4" x14ac:dyDescent="0.2">
      <c r="A5" s="90" t="s">
        <v>404</v>
      </c>
      <c r="B5" s="175" cm="1">
        <f t="array" ref="B5:D5">Eingabe!O24:Q24</f>
        <v>2</v>
      </c>
      <c r="C5" s="90">
        <v>2.0346491575033618</v>
      </c>
      <c r="D5" s="90">
        <v>1.974685547029507</v>
      </c>
    </row>
    <row r="6" spans="1:4" x14ac:dyDescent="0.2">
      <c r="A6" s="90" t="s">
        <v>405</v>
      </c>
      <c r="B6" s="90" cm="1">
        <f t="array" ref="B6:D6">Eingabe!S25:U25</f>
        <v>9.627820411966026E-2</v>
      </c>
      <c r="C6" s="90">
        <v>8.6871538857533848E-2</v>
      </c>
      <c r="D6" s="90">
        <v>0.10673242503942612</v>
      </c>
    </row>
    <row r="7" spans="1:4" x14ac:dyDescent="0.2">
      <c r="A7" s="132"/>
      <c r="B7" s="132"/>
      <c r="C7" s="132"/>
      <c r="D7" s="132"/>
    </row>
    <row r="8" spans="1:4" x14ac:dyDescent="0.2">
      <c r="A8" s="689" t="s">
        <v>407</v>
      </c>
      <c r="B8" s="690"/>
      <c r="C8" s="690"/>
      <c r="D8" s="691"/>
    </row>
    <row r="9" spans="1:4" x14ac:dyDescent="0.2">
      <c r="A9" s="516" t="s">
        <v>350</v>
      </c>
      <c r="B9" s="517"/>
      <c r="C9" s="517"/>
      <c r="D9" s="518"/>
    </row>
    <row r="10" spans="1:4" s="241" customFormat="1" x14ac:dyDescent="0.2">
      <c r="A10" s="519"/>
      <c r="B10" s="520"/>
      <c r="C10" s="520"/>
      <c r="D10" s="521"/>
    </row>
    <row r="11" spans="1:4" s="241" customFormat="1" x14ac:dyDescent="0.2">
      <c r="A11" s="522" t="s">
        <v>1058</v>
      </c>
      <c r="B11" s="520"/>
      <c r="C11" s="520"/>
      <c r="D11" s="521"/>
    </row>
    <row r="12" spans="1:4" x14ac:dyDescent="0.2">
      <c r="A12" s="522"/>
      <c r="B12" s="520"/>
      <c r="C12" s="520"/>
      <c r="D12" s="521"/>
    </row>
    <row r="13" spans="1:4" x14ac:dyDescent="0.2">
      <c r="A13" s="522" t="s">
        <v>351</v>
      </c>
      <c r="B13" s="520"/>
      <c r="C13" s="520"/>
      <c r="D13" s="521"/>
    </row>
    <row r="14" spans="1:4" x14ac:dyDescent="0.2">
      <c r="A14" s="522" t="s">
        <v>352</v>
      </c>
      <c r="B14" s="520"/>
      <c r="C14" s="520"/>
      <c r="D14" s="521"/>
    </row>
    <row r="15" spans="1:4" x14ac:dyDescent="0.2">
      <c r="A15" s="522" t="s">
        <v>353</v>
      </c>
      <c r="B15" s="520"/>
      <c r="C15" s="520"/>
      <c r="D15" s="521"/>
    </row>
    <row r="16" spans="1:4" x14ac:dyDescent="0.2">
      <c r="A16" s="522"/>
      <c r="B16" s="520"/>
      <c r="C16" s="520"/>
      <c r="D16" s="521"/>
    </row>
    <row r="17" spans="1:4" x14ac:dyDescent="0.2">
      <c r="A17" s="522" t="s">
        <v>354</v>
      </c>
      <c r="B17" s="520"/>
      <c r="C17" s="520"/>
      <c r="D17" s="521"/>
    </row>
    <row r="18" spans="1:4" x14ac:dyDescent="0.2">
      <c r="A18" s="522" t="s">
        <v>355</v>
      </c>
      <c r="B18" s="520"/>
      <c r="C18" s="520"/>
      <c r="D18" s="521"/>
    </row>
    <row r="19" spans="1:4" x14ac:dyDescent="0.2">
      <c r="A19" s="522" t="s">
        <v>356</v>
      </c>
      <c r="B19" s="520"/>
      <c r="C19" s="520"/>
      <c r="D19" s="521"/>
    </row>
    <row r="20" spans="1:4" x14ac:dyDescent="0.2">
      <c r="A20" s="522" t="s">
        <v>357</v>
      </c>
      <c r="B20" s="520"/>
      <c r="C20" s="520"/>
      <c r="D20" s="521"/>
    </row>
    <row r="21" spans="1:4" x14ac:dyDescent="0.2">
      <c r="A21" s="522" t="s">
        <v>358</v>
      </c>
      <c r="B21" s="520"/>
      <c r="C21" s="520"/>
      <c r="D21" s="521"/>
    </row>
    <row r="22" spans="1:4" x14ac:dyDescent="0.2">
      <c r="A22" s="522"/>
      <c r="B22" s="520"/>
      <c r="C22" s="520"/>
      <c r="D22" s="521"/>
    </row>
    <row r="23" spans="1:4" x14ac:dyDescent="0.2">
      <c r="A23" s="522" t="s">
        <v>359</v>
      </c>
      <c r="B23" s="520"/>
      <c r="C23" s="520"/>
      <c r="D23" s="521"/>
    </row>
    <row r="24" spans="1:4" x14ac:dyDescent="0.2">
      <c r="A24" s="522" t="s">
        <v>360</v>
      </c>
      <c r="B24" s="520"/>
      <c r="C24" s="520"/>
      <c r="D24" s="521"/>
    </row>
    <row r="25" spans="1:4" x14ac:dyDescent="0.2">
      <c r="A25" s="522" t="s">
        <v>361</v>
      </c>
      <c r="B25" s="520"/>
      <c r="C25" s="520"/>
      <c r="D25" s="521"/>
    </row>
    <row r="26" spans="1:4" x14ac:dyDescent="0.2">
      <c r="A26" s="522" t="s">
        <v>362</v>
      </c>
      <c r="B26" s="520"/>
      <c r="C26" s="520"/>
      <c r="D26" s="521"/>
    </row>
    <row r="27" spans="1:4" x14ac:dyDescent="0.2">
      <c r="A27" s="522" t="s">
        <v>363</v>
      </c>
      <c r="B27" s="520"/>
      <c r="C27" s="520"/>
      <c r="D27" s="521"/>
    </row>
    <row r="28" spans="1:4" x14ac:dyDescent="0.2">
      <c r="A28" s="522" t="s">
        <v>364</v>
      </c>
      <c r="B28" s="520"/>
      <c r="C28" s="520"/>
      <c r="D28" s="521"/>
    </row>
    <row r="29" spans="1:4" x14ac:dyDescent="0.2">
      <c r="A29" s="522" t="s">
        <v>365</v>
      </c>
      <c r="B29" s="520"/>
      <c r="C29" s="520"/>
      <c r="D29" s="521"/>
    </row>
    <row r="30" spans="1:4" x14ac:dyDescent="0.2">
      <c r="A30" s="522" t="s">
        <v>366</v>
      </c>
      <c r="B30" s="520"/>
      <c r="C30" s="520"/>
      <c r="D30" s="521"/>
    </row>
    <row r="31" spans="1:4" x14ac:dyDescent="0.2">
      <c r="A31" s="522" t="s">
        <v>367</v>
      </c>
      <c r="B31" s="520"/>
      <c r="C31" s="520"/>
      <c r="D31" s="521"/>
    </row>
    <row r="32" spans="1:4" x14ac:dyDescent="0.2">
      <c r="A32" s="522" t="s">
        <v>368</v>
      </c>
      <c r="B32" s="520"/>
      <c r="C32" s="520"/>
      <c r="D32" s="521"/>
    </row>
    <row r="33" spans="1:4" x14ac:dyDescent="0.2">
      <c r="A33" s="522"/>
      <c r="B33" s="520"/>
      <c r="C33" s="520"/>
      <c r="D33" s="521"/>
    </row>
    <row r="34" spans="1:4" x14ac:dyDescent="0.2">
      <c r="A34" s="519" t="s">
        <v>369</v>
      </c>
      <c r="B34" s="520"/>
      <c r="C34" s="520"/>
      <c r="D34" s="521"/>
    </row>
    <row r="35" spans="1:4" x14ac:dyDescent="0.2">
      <c r="A35" s="523" t="s">
        <v>380</v>
      </c>
      <c r="B35" s="520"/>
      <c r="C35" s="520"/>
      <c r="D35" s="521"/>
    </row>
    <row r="36" spans="1:4" x14ac:dyDescent="0.2">
      <c r="A36" s="522" t="s">
        <v>370</v>
      </c>
      <c r="B36" s="520"/>
      <c r="C36" s="520"/>
      <c r="D36" s="521"/>
    </row>
    <row r="37" spans="1:4" x14ac:dyDescent="0.2">
      <c r="A37" s="522" t="s">
        <v>408</v>
      </c>
      <c r="B37" s="520"/>
      <c r="C37" s="520"/>
      <c r="D37" s="521"/>
    </row>
    <row r="38" spans="1:4" x14ac:dyDescent="0.2">
      <c r="A38" s="522"/>
      <c r="B38" s="520"/>
      <c r="C38" s="520"/>
      <c r="D38" s="521"/>
    </row>
    <row r="39" spans="1:4" x14ac:dyDescent="0.2">
      <c r="A39" s="519" t="s">
        <v>371</v>
      </c>
      <c r="B39" s="520"/>
      <c r="C39" s="520"/>
      <c r="D39" s="521"/>
    </row>
    <row r="40" spans="1:4" x14ac:dyDescent="0.2">
      <c r="A40" s="519" t="s">
        <v>372</v>
      </c>
      <c r="B40" s="520"/>
      <c r="C40" s="520"/>
      <c r="D40" s="521"/>
    </row>
    <row r="41" spans="1:4" x14ac:dyDescent="0.2">
      <c r="A41" s="522"/>
      <c r="B41" s="520"/>
      <c r="C41" s="520"/>
      <c r="D41" s="521"/>
    </row>
    <row r="42" spans="1:4" x14ac:dyDescent="0.2">
      <c r="A42" s="519" t="s">
        <v>373</v>
      </c>
      <c r="B42" s="520"/>
      <c r="C42" s="520"/>
      <c r="D42" s="521"/>
    </row>
    <row r="43" spans="1:4" x14ac:dyDescent="0.2">
      <c r="A43" s="523" t="s">
        <v>400</v>
      </c>
      <c r="B43" s="520"/>
      <c r="C43" s="520"/>
      <c r="D43" s="521"/>
    </row>
    <row r="44" spans="1:4" x14ac:dyDescent="0.2">
      <c r="A44" s="523" t="s">
        <v>381</v>
      </c>
      <c r="B44" s="520"/>
      <c r="C44" s="520"/>
      <c r="D44" s="521"/>
    </row>
    <row r="45" spans="1:4" x14ac:dyDescent="0.2">
      <c r="A45" s="523" t="s">
        <v>382</v>
      </c>
      <c r="B45" s="520"/>
      <c r="C45" s="520"/>
      <c r="D45" s="521"/>
    </row>
    <row r="46" spans="1:4" x14ac:dyDescent="0.2">
      <c r="A46" s="523" t="s">
        <v>383</v>
      </c>
      <c r="B46" s="520"/>
      <c r="C46" s="520"/>
      <c r="D46" s="521"/>
    </row>
    <row r="47" spans="1:4" x14ac:dyDescent="0.2">
      <c r="A47" s="523" t="s">
        <v>384</v>
      </c>
      <c r="B47" s="520"/>
      <c r="C47" s="520"/>
      <c r="D47" s="521"/>
    </row>
    <row r="48" spans="1:4" x14ac:dyDescent="0.2">
      <c r="A48" s="523" t="s">
        <v>385</v>
      </c>
      <c r="B48" s="520"/>
      <c r="C48" s="520"/>
      <c r="D48" s="521"/>
    </row>
    <row r="49" spans="1:4" x14ac:dyDescent="0.2">
      <c r="A49" s="523" t="s">
        <v>386</v>
      </c>
      <c r="B49" s="520"/>
      <c r="C49" s="520"/>
      <c r="D49" s="521"/>
    </row>
    <row r="50" spans="1:4" x14ac:dyDescent="0.2">
      <c r="A50" s="523" t="s">
        <v>387</v>
      </c>
      <c r="B50" s="520"/>
      <c r="C50" s="520"/>
      <c r="D50" s="521"/>
    </row>
    <row r="51" spans="1:4" x14ac:dyDescent="0.2">
      <c r="A51" s="523" t="s">
        <v>388</v>
      </c>
      <c r="B51" s="520"/>
      <c r="C51" s="520"/>
      <c r="D51" s="521"/>
    </row>
    <row r="52" spans="1:4" x14ac:dyDescent="0.2">
      <c r="A52" s="523" t="s">
        <v>389</v>
      </c>
      <c r="B52" s="520"/>
      <c r="C52" s="520"/>
      <c r="D52" s="521"/>
    </row>
    <row r="53" spans="1:4" x14ac:dyDescent="0.2">
      <c r="A53" s="523" t="s">
        <v>390</v>
      </c>
      <c r="B53" s="520"/>
      <c r="C53" s="520"/>
      <c r="D53" s="521"/>
    </row>
    <row r="54" spans="1:4" x14ac:dyDescent="0.2">
      <c r="A54" s="523" t="s">
        <v>391</v>
      </c>
      <c r="B54" s="520"/>
      <c r="C54" s="520"/>
      <c r="D54" s="521"/>
    </row>
    <row r="55" spans="1:4" x14ac:dyDescent="0.2">
      <c r="A55" s="523" t="s">
        <v>392</v>
      </c>
      <c r="B55" s="520"/>
      <c r="C55" s="520"/>
      <c r="D55" s="521"/>
    </row>
    <row r="56" spans="1:4" x14ac:dyDescent="0.2">
      <c r="A56" s="523" t="s">
        <v>393</v>
      </c>
      <c r="B56" s="520"/>
      <c r="C56" s="520"/>
      <c r="D56" s="521"/>
    </row>
    <row r="57" spans="1:4" x14ac:dyDescent="0.2">
      <c r="A57" s="522" t="s">
        <v>374</v>
      </c>
      <c r="B57" s="520"/>
      <c r="C57" s="520"/>
      <c r="D57" s="521"/>
    </row>
    <row r="58" spans="1:4" x14ac:dyDescent="0.2">
      <c r="A58" s="522" t="s">
        <v>375</v>
      </c>
      <c r="B58" s="520"/>
      <c r="C58" s="520"/>
      <c r="D58" s="521"/>
    </row>
    <row r="59" spans="1:4" x14ac:dyDescent="0.2">
      <c r="A59" s="523" t="s">
        <v>394</v>
      </c>
      <c r="B59" s="520"/>
      <c r="C59" s="520"/>
      <c r="D59" s="521"/>
    </row>
    <row r="60" spans="1:4" x14ac:dyDescent="0.2">
      <c r="A60" s="523" t="s">
        <v>395</v>
      </c>
      <c r="B60" s="520"/>
      <c r="C60" s="520"/>
      <c r="D60" s="521"/>
    </row>
    <row r="61" spans="1:4" x14ac:dyDescent="0.2">
      <c r="A61" s="523" t="s">
        <v>396</v>
      </c>
      <c r="B61" s="520"/>
      <c r="C61" s="520"/>
      <c r="D61" s="521"/>
    </row>
    <row r="62" spans="1:4" x14ac:dyDescent="0.2">
      <c r="A62" s="522" t="s">
        <v>376</v>
      </c>
      <c r="B62" s="520"/>
      <c r="C62" s="520"/>
      <c r="D62" s="521"/>
    </row>
    <row r="63" spans="1:4" x14ac:dyDescent="0.2">
      <c r="A63" s="522" t="s">
        <v>377</v>
      </c>
      <c r="B63" s="520"/>
      <c r="C63" s="520"/>
      <c r="D63" s="521"/>
    </row>
    <row r="64" spans="1:4" x14ac:dyDescent="0.2">
      <c r="A64" s="522" t="s">
        <v>378</v>
      </c>
      <c r="B64" s="520"/>
      <c r="C64" s="520"/>
      <c r="D64" s="521"/>
    </row>
    <row r="65" spans="1:4" x14ac:dyDescent="0.2">
      <c r="A65" s="522" t="s">
        <v>379</v>
      </c>
      <c r="B65" s="520"/>
      <c r="C65" s="520"/>
      <c r="D65" s="521"/>
    </row>
    <row r="66" spans="1:4" x14ac:dyDescent="0.2">
      <c r="A66" s="523" t="s">
        <v>397</v>
      </c>
      <c r="B66" s="520"/>
      <c r="C66" s="520"/>
      <c r="D66" s="521"/>
    </row>
    <row r="67" spans="1:4" x14ac:dyDescent="0.2">
      <c r="A67" s="523" t="s">
        <v>398</v>
      </c>
      <c r="B67" s="520"/>
      <c r="C67" s="520"/>
      <c r="D67" s="521"/>
    </row>
    <row r="68" spans="1:4" x14ac:dyDescent="0.2">
      <c r="A68" s="524" t="s">
        <v>399</v>
      </c>
      <c r="B68" s="525"/>
      <c r="C68" s="525"/>
      <c r="D68" s="526"/>
    </row>
  </sheetData>
  <sheetProtection algorithmName="SHA-512" hashValue="AlndHwwBdRkDAedSeOcax0QfGTu1Dyfpc5i+xv/i/OTEq81I1/796CHbJdRHEHT0J54G6zCMfuy/ui5OKD+pFg==" saltValue="4NNX5aF9AhR/aNIWdwd34g==" spinCount="100000" sheet="1" objects="1" scenarios="1" selectLockedCells="1"/>
  <mergeCells count="2">
    <mergeCell ref="B1:D1"/>
    <mergeCell ref="A8:D8"/>
  </mergeCells>
  <pageMargins left="0.7" right="0.7" top="0.78740157499999996" bottom="0.78740157499999996"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2" id="{75DA9E92-022D-4563-B557-69E5867880E0}">
            <xm:f>Eingabe!$A$13=FALSE</xm:f>
            <x14:dxf>
              <font>
                <color theme="0"/>
              </font>
              <fill>
                <patternFill patternType="solid">
                  <fgColor theme="0"/>
                  <bgColor theme="0"/>
                </patternFill>
              </fill>
              <border>
                <left/>
                <right/>
                <top/>
                <bottom/>
                <vertical/>
                <horizontal/>
              </border>
            </x14:dxf>
          </x14:cfRule>
          <xm:sqref>C3:C6</xm:sqref>
        </x14:conditionalFormatting>
        <x14:conditionalFormatting xmlns:xm="http://schemas.microsoft.com/office/excel/2006/main">
          <x14:cfRule type="expression" priority="1" id="{3C2437B0-CA19-4089-A803-B0EA0E065DCA}">
            <xm:f>Eingabe!$A$14=FALSE</xm:f>
            <x14:dxf>
              <font>
                <color theme="0"/>
              </font>
              <fill>
                <patternFill>
                  <fgColor theme="0"/>
                  <bgColor theme="0"/>
                </patternFill>
              </fill>
              <border>
                <left/>
                <right/>
                <top/>
                <bottom/>
                <vertical/>
                <horizontal/>
              </border>
            </x14:dxf>
          </x14:cfRule>
          <xm:sqref>D3:D6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CA78"/>
  <sheetViews>
    <sheetView topLeftCell="S1" zoomScale="85" zoomScaleNormal="85" workbookViewId="0">
      <pane ySplit="2" topLeftCell="A3" activePane="bottomLeft" state="frozen"/>
      <selection activeCell="Q67" sqref="Q67"/>
      <selection pane="bottomLeft" activeCell="Q67" sqref="Q67"/>
    </sheetView>
  </sheetViews>
  <sheetFormatPr baseColWidth="10" defaultColWidth="11.5703125" defaultRowHeight="12.75" x14ac:dyDescent="0.2"/>
  <cols>
    <col min="1" max="1" width="33.85546875" style="1" customWidth="1"/>
    <col min="2" max="2" width="25" style="1" customWidth="1"/>
    <col min="3" max="5" width="12" style="1" customWidth="1"/>
    <col min="6" max="6" width="17.5703125" style="1" customWidth="1"/>
    <col min="7" max="7" width="16.5703125" style="1" customWidth="1"/>
    <col min="8" max="8" width="14.140625" style="1" customWidth="1"/>
    <col min="9" max="9" width="19.140625" style="1" customWidth="1"/>
    <col min="10" max="10" width="31.28515625" style="1" customWidth="1"/>
    <col min="11" max="18" width="12" style="1" customWidth="1"/>
    <col min="19" max="20" width="11.140625" style="1" customWidth="1"/>
    <col min="21" max="47" width="11.7109375" style="1" customWidth="1"/>
    <col min="48" max="48" width="11.85546875" style="1" customWidth="1"/>
    <col min="49" max="49" width="11.85546875" customWidth="1"/>
    <col min="50" max="50" width="16.7109375" style="1" customWidth="1"/>
    <col min="51" max="51" width="17.28515625" style="1" customWidth="1"/>
    <col min="52" max="52" width="14.85546875" style="1" customWidth="1"/>
    <col min="53" max="53" width="14.140625" style="1" customWidth="1"/>
    <col min="54" max="54" width="9.5703125" style="1" customWidth="1"/>
    <col min="55" max="73" width="12" style="1" customWidth="1"/>
    <col min="74" max="74" width="15.85546875" style="1" customWidth="1"/>
    <col min="75" max="75" width="12" style="1" customWidth="1"/>
    <col min="76" max="76" width="14.85546875" style="1" customWidth="1"/>
    <col min="77" max="1055" width="12" style="1" customWidth="1"/>
    <col min="1056" max="16384" width="11.5703125" style="1"/>
  </cols>
  <sheetData>
    <row r="1" spans="1:79" x14ac:dyDescent="0.2">
      <c r="A1" s="1" t="s">
        <v>51</v>
      </c>
      <c r="F1" s="19"/>
      <c r="G1" s="728" t="s">
        <v>1</v>
      </c>
      <c r="H1" s="728"/>
      <c r="I1" s="728"/>
      <c r="J1" s="729" t="s">
        <v>52</v>
      </c>
      <c r="K1" s="730"/>
      <c r="L1" s="730"/>
      <c r="M1" s="730"/>
      <c r="N1" s="730"/>
      <c r="O1" s="730"/>
      <c r="P1" s="730"/>
      <c r="Q1" s="730"/>
      <c r="R1" s="730"/>
      <c r="S1" s="730"/>
      <c r="T1" s="730"/>
      <c r="U1" s="730"/>
      <c r="V1" s="731"/>
      <c r="W1" s="197"/>
      <c r="X1" s="732" t="s">
        <v>3</v>
      </c>
      <c r="Y1" s="732"/>
      <c r="Z1" s="732"/>
      <c r="AA1" s="732"/>
      <c r="AB1" s="732"/>
      <c r="AC1" s="732"/>
      <c r="AD1" s="732"/>
      <c r="AE1" s="732"/>
      <c r="AF1" s="732"/>
      <c r="AG1" s="732"/>
      <c r="AH1" s="732"/>
      <c r="AI1" s="732"/>
      <c r="AJ1" s="732"/>
      <c r="AK1" s="732"/>
      <c r="AL1" s="732"/>
      <c r="AM1" s="732"/>
      <c r="AN1" s="732"/>
      <c r="AO1" s="732"/>
      <c r="AP1" s="732"/>
      <c r="AQ1" s="732"/>
      <c r="AR1" s="732"/>
      <c r="AS1" s="732"/>
      <c r="AT1" s="732"/>
      <c r="AU1" s="732"/>
      <c r="AV1" s="732"/>
      <c r="AW1" s="698" t="s">
        <v>20</v>
      </c>
      <c r="AX1" s="698"/>
      <c r="AY1" s="698"/>
      <c r="AZ1" s="698"/>
      <c r="BA1" s="698"/>
      <c r="BB1" s="698"/>
      <c r="BC1" s="698"/>
      <c r="BD1" s="698"/>
      <c r="BE1" s="698"/>
      <c r="BF1" s="698"/>
      <c r="BG1" s="698"/>
      <c r="BH1" s="698"/>
      <c r="BI1" s="698"/>
      <c r="BJ1" s="698"/>
      <c r="BK1" s="698"/>
      <c r="BL1" s="698"/>
      <c r="BN1" s="733" t="s">
        <v>458</v>
      </c>
      <c r="BO1" s="734"/>
      <c r="BP1" s="734"/>
      <c r="BQ1" s="734"/>
      <c r="BR1" s="734"/>
      <c r="BS1" s="734"/>
      <c r="BT1" s="734"/>
      <c r="BU1" s="734"/>
      <c r="BV1" s="734"/>
      <c r="BW1" s="734"/>
      <c r="BX1" s="734"/>
      <c r="BY1" s="734"/>
      <c r="BZ1" s="734"/>
      <c r="CA1" s="734"/>
    </row>
    <row r="2" spans="1:79" x14ac:dyDescent="0.2">
      <c r="F2" s="20"/>
      <c r="G2" s="155" t="s">
        <v>98</v>
      </c>
      <c r="H2" s="702" t="s">
        <v>6</v>
      </c>
      <c r="I2" s="702"/>
      <c r="J2" s="141"/>
      <c r="K2" s="703" t="s">
        <v>8</v>
      </c>
      <c r="L2" s="703"/>
      <c r="M2" s="704" t="s">
        <v>53</v>
      </c>
      <c r="N2" s="704"/>
      <c r="O2" s="704" t="s">
        <v>54</v>
      </c>
      <c r="P2" s="704"/>
      <c r="Q2" s="704" t="s">
        <v>55</v>
      </c>
      <c r="R2" s="704"/>
      <c r="S2" s="704" t="s">
        <v>56</v>
      </c>
      <c r="T2" s="704"/>
      <c r="U2" s="704" t="s">
        <v>57</v>
      </c>
      <c r="V2" s="704"/>
      <c r="W2" s="194"/>
      <c r="X2" s="705" t="s">
        <v>104</v>
      </c>
      <c r="Y2" s="705"/>
      <c r="Z2" s="705" t="s">
        <v>410</v>
      </c>
      <c r="AA2" s="705"/>
      <c r="AB2" s="705" t="s">
        <v>103</v>
      </c>
      <c r="AC2" s="705"/>
      <c r="AD2" s="705" t="s">
        <v>412</v>
      </c>
      <c r="AE2" s="705"/>
      <c r="AF2" s="705" t="s">
        <v>413</v>
      </c>
      <c r="AG2" s="705"/>
      <c r="AH2" s="706" t="s">
        <v>479</v>
      </c>
      <c r="AI2" s="707"/>
      <c r="AJ2" s="708" t="s">
        <v>480</v>
      </c>
      <c r="AK2" s="709"/>
      <c r="AL2" s="706" t="s">
        <v>481</v>
      </c>
      <c r="AM2" s="707"/>
      <c r="AN2" s="191"/>
      <c r="AO2" s="699" t="s">
        <v>417</v>
      </c>
      <c r="AP2" s="700"/>
      <c r="AQ2" s="699" t="s">
        <v>426</v>
      </c>
      <c r="AR2" s="700"/>
      <c r="AS2" s="699" t="s">
        <v>425</v>
      </c>
      <c r="AT2" s="700"/>
      <c r="AU2" s="699" t="s">
        <v>424</v>
      </c>
      <c r="AV2" s="700"/>
      <c r="AW2" s="201"/>
      <c r="AX2" s="697" t="s">
        <v>436</v>
      </c>
      <c r="AY2" s="697"/>
      <c r="AZ2" s="697" t="s">
        <v>23</v>
      </c>
      <c r="BA2" s="697"/>
      <c r="BB2" s="698" t="s">
        <v>24</v>
      </c>
      <c r="BC2" s="698"/>
      <c r="BD2" s="698" t="s">
        <v>22</v>
      </c>
      <c r="BE2" s="698"/>
      <c r="BF2" s="698" t="s">
        <v>437</v>
      </c>
      <c r="BG2" s="698"/>
      <c r="BH2" s="202"/>
      <c r="BI2" s="697" t="s">
        <v>435</v>
      </c>
      <c r="BJ2" s="697"/>
      <c r="BK2" s="697" t="s">
        <v>416</v>
      </c>
      <c r="BL2" s="697"/>
      <c r="BN2" s="594" t="s">
        <v>6</v>
      </c>
      <c r="BO2" s="594"/>
      <c r="BP2" s="594" t="s">
        <v>7</v>
      </c>
      <c r="BQ2" s="594"/>
      <c r="BR2" s="594" t="s">
        <v>440</v>
      </c>
      <c r="BS2" s="594"/>
      <c r="BT2" s="594" t="s">
        <v>470</v>
      </c>
      <c r="BU2" s="594"/>
      <c r="BV2" s="594" t="s">
        <v>469</v>
      </c>
      <c r="BW2" s="594"/>
      <c r="BX2" s="594" t="s">
        <v>444</v>
      </c>
      <c r="BY2" s="594"/>
      <c r="BZ2" s="594" t="s">
        <v>448</v>
      </c>
      <c r="CA2" s="594"/>
    </row>
    <row r="3" spans="1:79" ht="12.75" customHeight="1" x14ac:dyDescent="0.2">
      <c r="F3" s="159"/>
      <c r="G3" s="160"/>
      <c r="H3" s="160"/>
      <c r="I3" s="161"/>
      <c r="J3" s="156"/>
      <c r="K3" s="136" t="s">
        <v>226</v>
      </c>
      <c r="L3" s="136" t="s">
        <v>34</v>
      </c>
      <c r="M3" s="137" t="s">
        <v>58</v>
      </c>
      <c r="N3" s="136" t="s">
        <v>34</v>
      </c>
      <c r="O3" s="137" t="s">
        <v>58</v>
      </c>
      <c r="P3" s="136" t="s">
        <v>34</v>
      </c>
      <c r="Q3" s="137" t="s">
        <v>58</v>
      </c>
      <c r="R3" s="136" t="s">
        <v>34</v>
      </c>
      <c r="S3" s="137" t="s">
        <v>58</v>
      </c>
      <c r="T3" s="136" t="s">
        <v>34</v>
      </c>
      <c r="U3" s="137" t="s">
        <v>58</v>
      </c>
      <c r="V3" s="136" t="s">
        <v>34</v>
      </c>
      <c r="W3" s="136"/>
      <c r="X3" s="137" t="s">
        <v>414</v>
      </c>
      <c r="Y3" s="136" t="s">
        <v>34</v>
      </c>
      <c r="Z3" s="137" t="s">
        <v>414</v>
      </c>
      <c r="AA3" s="136" t="s">
        <v>34</v>
      </c>
      <c r="AB3" s="137" t="s">
        <v>414</v>
      </c>
      <c r="AC3" s="136" t="s">
        <v>34</v>
      </c>
      <c r="AD3" s="137" t="s">
        <v>414</v>
      </c>
      <c r="AE3" s="136" t="s">
        <v>34</v>
      </c>
      <c r="AF3" s="137" t="s">
        <v>414</v>
      </c>
      <c r="AG3" s="136" t="s">
        <v>34</v>
      </c>
      <c r="AH3" s="136" t="s">
        <v>106</v>
      </c>
      <c r="AI3" s="136" t="s">
        <v>34</v>
      </c>
      <c r="AJ3" s="137" t="s">
        <v>414</v>
      </c>
      <c r="AK3" s="136" t="s">
        <v>34</v>
      </c>
      <c r="AL3" s="137" t="s">
        <v>414</v>
      </c>
      <c r="AM3" s="136" t="s">
        <v>34</v>
      </c>
      <c r="AN3" s="136"/>
      <c r="AO3" s="136" t="s">
        <v>0</v>
      </c>
      <c r="AP3" s="136" t="s">
        <v>34</v>
      </c>
      <c r="AQ3" s="136" t="s">
        <v>0</v>
      </c>
      <c r="AR3" s="136" t="s">
        <v>34</v>
      </c>
      <c r="AS3" s="136" t="s">
        <v>0</v>
      </c>
      <c r="AT3" s="136" t="s">
        <v>34</v>
      </c>
      <c r="AU3" s="136" t="s">
        <v>0</v>
      </c>
      <c r="AV3" s="136" t="s">
        <v>34</v>
      </c>
      <c r="AW3" s="136"/>
      <c r="AX3" s="200" t="s">
        <v>58</v>
      </c>
      <c r="AY3" s="136" t="s">
        <v>34</v>
      </c>
      <c r="AZ3" s="200" t="s">
        <v>58</v>
      </c>
      <c r="BA3" s="136" t="s">
        <v>34</v>
      </c>
      <c r="BB3" s="200" t="s">
        <v>58</v>
      </c>
      <c r="BC3" s="136" t="s">
        <v>34</v>
      </c>
      <c r="BD3" s="200" t="s">
        <v>58</v>
      </c>
      <c r="BE3" s="136" t="s">
        <v>34</v>
      </c>
      <c r="BF3" s="200" t="s">
        <v>58</v>
      </c>
      <c r="BG3" s="136" t="s">
        <v>34</v>
      </c>
      <c r="BH3" s="196"/>
      <c r="BI3" s="136" t="s">
        <v>0</v>
      </c>
      <c r="BJ3" s="136" t="s">
        <v>34</v>
      </c>
      <c r="BK3" s="136" t="s">
        <v>0</v>
      </c>
      <c r="BL3" s="136" t="s">
        <v>34</v>
      </c>
      <c r="BN3" s="136" t="s">
        <v>457</v>
      </c>
      <c r="BO3" s="136" t="s">
        <v>34</v>
      </c>
      <c r="BP3" s="136" t="s">
        <v>457</v>
      </c>
      <c r="BQ3" s="136" t="s">
        <v>34</v>
      </c>
      <c r="BR3" s="136" t="s">
        <v>457</v>
      </c>
      <c r="BS3" s="136" t="s">
        <v>34</v>
      </c>
      <c r="BT3" s="136" t="s">
        <v>457</v>
      </c>
      <c r="BU3" s="136" t="s">
        <v>34</v>
      </c>
      <c r="BV3" s="136" t="s">
        <v>457</v>
      </c>
      <c r="BW3" s="136" t="s">
        <v>34</v>
      </c>
      <c r="BX3" s="136" t="s">
        <v>457</v>
      </c>
      <c r="BY3" s="136" t="s">
        <v>34</v>
      </c>
      <c r="BZ3" s="136" t="s">
        <v>457</v>
      </c>
      <c r="CA3" s="136" t="s">
        <v>34</v>
      </c>
    </row>
    <row r="4" spans="1:79" x14ac:dyDescent="0.2">
      <c r="F4" s="162"/>
      <c r="G4" s="125"/>
      <c r="H4" s="125"/>
      <c r="I4" s="144"/>
      <c r="J4" s="157" t="s">
        <v>231</v>
      </c>
      <c r="K4" s="139">
        <f>Eingabe!H19</f>
        <v>9.5</v>
      </c>
      <c r="L4" s="140">
        <v>5</v>
      </c>
      <c r="M4" s="148">
        <f>Eingabe!I19</f>
        <v>200</v>
      </c>
      <c r="N4" s="148">
        <v>5</v>
      </c>
      <c r="O4" s="148">
        <f>Eingabe!J19</f>
        <v>10</v>
      </c>
      <c r="P4" s="148">
        <v>5</v>
      </c>
      <c r="Q4" s="148">
        <f>Eingabe!K19</f>
        <v>50</v>
      </c>
      <c r="R4" s="148">
        <v>5</v>
      </c>
      <c r="S4" s="148">
        <f>Eingabe!L19</f>
        <v>200</v>
      </c>
      <c r="T4" s="148">
        <v>5</v>
      </c>
      <c r="U4" s="148">
        <f>Eingabe!M19</f>
        <v>4000</v>
      </c>
      <c r="V4" s="148">
        <v>5</v>
      </c>
      <c r="W4" s="157" t="s">
        <v>231</v>
      </c>
      <c r="X4" s="181">
        <f>Eingabe!D34</f>
        <v>7</v>
      </c>
      <c r="Y4" s="181">
        <v>5</v>
      </c>
      <c r="Z4" s="181">
        <f>Eingabe!E34</f>
        <v>2.5</v>
      </c>
      <c r="AA4" s="181">
        <v>5</v>
      </c>
      <c r="AB4" s="181">
        <f>Eingabe!F34</f>
        <v>250</v>
      </c>
      <c r="AC4" s="181">
        <v>5</v>
      </c>
      <c r="AD4" s="181">
        <f>Eingabe!G34</f>
        <v>50</v>
      </c>
      <c r="AE4" s="181">
        <v>5</v>
      </c>
      <c r="AF4" s="181">
        <f>Eingabe!H34</f>
        <v>7.0000000000000007E-2</v>
      </c>
      <c r="AG4" s="192">
        <v>5</v>
      </c>
      <c r="AH4" s="192">
        <f>Eingabe!I34</f>
        <v>300</v>
      </c>
      <c r="AI4" s="192">
        <v>5</v>
      </c>
      <c r="AJ4" s="192">
        <f>Eingabe!J34</f>
        <v>5.415</v>
      </c>
      <c r="AK4" s="192">
        <v>5</v>
      </c>
      <c r="AL4" s="192">
        <f>Eingabe!K34</f>
        <v>0.2</v>
      </c>
      <c r="AM4" s="192">
        <v>5</v>
      </c>
      <c r="AN4" s="712" t="s">
        <v>428</v>
      </c>
      <c r="AO4" s="181" t="s">
        <v>419</v>
      </c>
      <c r="AP4" s="181">
        <v>0</v>
      </c>
      <c r="AQ4" s="181" t="s">
        <v>419</v>
      </c>
      <c r="AR4" s="181">
        <v>0</v>
      </c>
      <c r="AS4" s="181" t="s">
        <v>419</v>
      </c>
      <c r="AT4" s="181">
        <v>0</v>
      </c>
      <c r="AU4" s="181" t="s">
        <v>419</v>
      </c>
      <c r="AV4" s="181">
        <v>0</v>
      </c>
      <c r="AW4" s="157" t="s">
        <v>231</v>
      </c>
      <c r="AX4" s="139">
        <f>Eingabe!R34</f>
        <v>10</v>
      </c>
      <c r="AY4" s="139">
        <v>5</v>
      </c>
      <c r="AZ4" s="139">
        <f>Eingabe!S34</f>
        <v>3</v>
      </c>
      <c r="BA4" s="139">
        <v>5</v>
      </c>
      <c r="BB4" s="139">
        <f>Eingabe!T34</f>
        <v>10</v>
      </c>
      <c r="BC4" s="139">
        <v>5</v>
      </c>
      <c r="BD4" s="139">
        <f>Eingabe!U34</f>
        <v>0.1</v>
      </c>
      <c r="BE4" s="139">
        <v>5</v>
      </c>
      <c r="BF4" s="198">
        <f>Eingabe!V34</f>
        <v>0.01</v>
      </c>
      <c r="BG4" s="139">
        <v>5</v>
      </c>
      <c r="BH4" s="712" t="s">
        <v>428</v>
      </c>
      <c r="BI4" s="181" t="s">
        <v>419</v>
      </c>
      <c r="BJ4" s="181">
        <v>0</v>
      </c>
      <c r="BK4" s="181" t="s">
        <v>419</v>
      </c>
      <c r="BL4" s="181">
        <v>0</v>
      </c>
      <c r="BM4" s="203" t="s">
        <v>442</v>
      </c>
      <c r="BN4" s="213">
        <v>12.9</v>
      </c>
      <c r="BO4" s="139">
        <v>2.5</v>
      </c>
      <c r="BP4" s="211">
        <v>21</v>
      </c>
      <c r="BQ4" s="139">
        <v>2.5</v>
      </c>
      <c r="BR4" s="212">
        <v>745</v>
      </c>
      <c r="BS4" s="139">
        <v>2.5</v>
      </c>
      <c r="BT4" s="205">
        <v>100</v>
      </c>
      <c r="BU4" s="139">
        <v>2.5</v>
      </c>
      <c r="BV4" s="205">
        <v>100</v>
      </c>
      <c r="BW4" s="139">
        <v>2.5</v>
      </c>
      <c r="BX4" s="206">
        <v>1500</v>
      </c>
      <c r="BY4" s="139">
        <v>2.5</v>
      </c>
      <c r="BZ4" s="209">
        <v>20</v>
      </c>
      <c r="CA4" s="139">
        <v>0</v>
      </c>
    </row>
    <row r="5" spans="1:79" x14ac:dyDescent="0.2">
      <c r="F5" s="162"/>
      <c r="G5" s="125"/>
      <c r="H5" s="125"/>
      <c r="I5" s="144"/>
      <c r="J5" s="157" t="s">
        <v>232</v>
      </c>
      <c r="K5" s="139">
        <f>Eingabe!H20</f>
        <v>6.5</v>
      </c>
      <c r="L5" s="147">
        <v>5</v>
      </c>
      <c r="M5" s="149"/>
      <c r="N5" s="150"/>
      <c r="O5" s="150"/>
      <c r="P5" s="150"/>
      <c r="Q5" s="150"/>
      <c r="R5" s="150"/>
      <c r="S5" s="150"/>
      <c r="T5" s="150"/>
      <c r="U5" s="150"/>
      <c r="V5" s="151"/>
      <c r="W5" s="157"/>
      <c r="X5" s="161"/>
      <c r="Y5" s="161"/>
      <c r="Z5" s="161"/>
      <c r="AA5" s="161"/>
      <c r="AB5" s="161"/>
      <c r="AC5" s="161"/>
      <c r="AD5" s="161"/>
      <c r="AE5" s="161"/>
      <c r="AF5" s="161"/>
      <c r="AG5" s="160"/>
      <c r="AH5" s="160"/>
      <c r="AI5" s="160"/>
      <c r="AJ5" s="160"/>
      <c r="AK5" s="160"/>
      <c r="AL5" s="160"/>
      <c r="AM5" s="160"/>
      <c r="AN5" s="712"/>
      <c r="AO5" s="181" t="s">
        <v>420</v>
      </c>
      <c r="AP5" s="181">
        <v>5</v>
      </c>
      <c r="AQ5" s="181" t="s">
        <v>420</v>
      </c>
      <c r="AR5" s="181">
        <v>5</v>
      </c>
      <c r="AS5" s="181" t="s">
        <v>420</v>
      </c>
      <c r="AT5" s="181">
        <v>5</v>
      </c>
      <c r="AU5" s="181" t="s">
        <v>420</v>
      </c>
      <c r="AV5" s="181">
        <v>5</v>
      </c>
      <c r="AW5" s="157"/>
      <c r="BB5"/>
      <c r="BD5"/>
      <c r="BF5"/>
      <c r="BH5" s="712"/>
      <c r="BI5" s="181" t="s">
        <v>420</v>
      </c>
      <c r="BJ5" s="181">
        <v>5</v>
      </c>
      <c r="BK5" s="181" t="s">
        <v>420</v>
      </c>
      <c r="BL5" s="181">
        <v>5</v>
      </c>
      <c r="BM5" s="203" t="s">
        <v>411</v>
      </c>
      <c r="BN5" s="213">
        <v>16.399999999999999</v>
      </c>
      <c r="BO5" s="139">
        <v>5</v>
      </c>
      <c r="BP5" s="214">
        <v>108</v>
      </c>
      <c r="BQ5" s="139">
        <v>5</v>
      </c>
      <c r="BR5" s="212">
        <v>320</v>
      </c>
      <c r="BS5" s="139">
        <v>5</v>
      </c>
      <c r="BT5" s="205">
        <v>740</v>
      </c>
      <c r="BU5" s="139">
        <v>5</v>
      </c>
      <c r="BV5" s="205">
        <v>740</v>
      </c>
      <c r="BW5" s="139">
        <v>5</v>
      </c>
      <c r="BX5" s="206">
        <v>2000</v>
      </c>
      <c r="BY5" s="139">
        <v>5</v>
      </c>
    </row>
    <row r="6" spans="1:79" x14ac:dyDescent="0.2">
      <c r="F6" s="162"/>
      <c r="G6" s="125"/>
      <c r="H6" s="125"/>
      <c r="I6" s="144"/>
      <c r="J6" s="158" t="s">
        <v>225</v>
      </c>
      <c r="K6" s="139">
        <v>7</v>
      </c>
      <c r="L6" s="140">
        <v>10</v>
      </c>
      <c r="M6" s="139">
        <f>Eingabe!I20</f>
        <v>0</v>
      </c>
      <c r="N6" s="139">
        <v>10</v>
      </c>
      <c r="O6" s="139">
        <f>Eingabe!J20</f>
        <v>0</v>
      </c>
      <c r="P6" s="139">
        <v>10</v>
      </c>
      <c r="Q6" s="139">
        <f>Eingabe!K20</f>
        <v>0</v>
      </c>
      <c r="R6" s="139">
        <v>10</v>
      </c>
      <c r="S6" s="139">
        <f>Eingabe!L20</f>
        <v>0</v>
      </c>
      <c r="T6" s="139">
        <v>10</v>
      </c>
      <c r="U6" s="139">
        <f>Eingabe!M20</f>
        <v>0</v>
      </c>
      <c r="V6" s="139">
        <v>10</v>
      </c>
      <c r="W6" s="158" t="s">
        <v>225</v>
      </c>
      <c r="X6" s="182">
        <v>0</v>
      </c>
      <c r="Y6" s="182">
        <v>10</v>
      </c>
      <c r="Z6" s="182">
        <v>0</v>
      </c>
      <c r="AA6" s="182">
        <v>10</v>
      </c>
      <c r="AB6" s="182">
        <v>0</v>
      </c>
      <c r="AC6" s="182">
        <v>10</v>
      </c>
      <c r="AD6" s="182">
        <v>0</v>
      </c>
      <c r="AE6" s="182">
        <v>10</v>
      </c>
      <c r="AF6" s="182">
        <v>0</v>
      </c>
      <c r="AG6" s="193">
        <v>10</v>
      </c>
      <c r="AH6" s="193">
        <f>Eingabe!I35</f>
        <v>0</v>
      </c>
      <c r="AI6" s="193">
        <v>10</v>
      </c>
      <c r="AJ6" s="193">
        <f>Eingabe!J35</f>
        <v>0</v>
      </c>
      <c r="AK6" s="193">
        <v>10</v>
      </c>
      <c r="AL6" s="193">
        <f>Eingabe!K35</f>
        <v>0</v>
      </c>
      <c r="AM6" s="193">
        <v>10</v>
      </c>
      <c r="AN6" s="712"/>
      <c r="AO6" s="181" t="s">
        <v>421</v>
      </c>
      <c r="AP6" s="181">
        <v>7.5</v>
      </c>
      <c r="AQ6" s="181" t="s">
        <v>421</v>
      </c>
      <c r="AR6" s="181">
        <v>7.5</v>
      </c>
      <c r="AS6" s="181" t="s">
        <v>421</v>
      </c>
      <c r="AT6" s="181">
        <v>7.5</v>
      </c>
      <c r="AU6" s="181" t="s">
        <v>421</v>
      </c>
      <c r="AV6" s="181">
        <v>7.5</v>
      </c>
      <c r="AW6" s="158" t="s">
        <v>225</v>
      </c>
      <c r="AX6" s="139">
        <v>0</v>
      </c>
      <c r="AY6" s="139">
        <v>10</v>
      </c>
      <c r="AZ6" s="139">
        <v>0</v>
      </c>
      <c r="BA6" s="139">
        <v>10</v>
      </c>
      <c r="BB6" s="139">
        <v>0</v>
      </c>
      <c r="BC6" s="139">
        <v>10</v>
      </c>
      <c r="BD6" s="139">
        <v>0</v>
      </c>
      <c r="BE6" s="139">
        <v>10</v>
      </c>
      <c r="BF6" s="139">
        <v>0</v>
      </c>
      <c r="BG6" s="139">
        <v>10</v>
      </c>
      <c r="BH6" s="712"/>
      <c r="BI6" s="181" t="s">
        <v>421</v>
      </c>
      <c r="BJ6" s="181">
        <v>7.5</v>
      </c>
      <c r="BK6" s="181" t="s">
        <v>421</v>
      </c>
      <c r="BL6" s="181">
        <v>7.5</v>
      </c>
      <c r="BM6" s="203" t="s">
        <v>441</v>
      </c>
      <c r="BN6" s="213">
        <v>25.5</v>
      </c>
      <c r="BO6" s="139">
        <v>7.5</v>
      </c>
      <c r="BP6" s="211">
        <v>402</v>
      </c>
      <c r="BQ6" s="139">
        <v>7.5</v>
      </c>
      <c r="BR6" s="212">
        <v>140</v>
      </c>
      <c r="BS6" s="139">
        <v>7.5</v>
      </c>
      <c r="BT6" s="205">
        <v>3500</v>
      </c>
      <c r="BU6" s="139">
        <v>7.5</v>
      </c>
      <c r="BV6" s="205">
        <v>3500</v>
      </c>
      <c r="BW6" s="139">
        <v>7.5</v>
      </c>
      <c r="BX6" s="206">
        <v>2500</v>
      </c>
      <c r="BY6" s="139">
        <v>7.5</v>
      </c>
      <c r="BZ6" s="209">
        <v>5</v>
      </c>
      <c r="CA6" s="139">
        <v>10</v>
      </c>
    </row>
    <row r="7" spans="1:79" x14ac:dyDescent="0.2">
      <c r="A7" s="1" t="s">
        <v>59</v>
      </c>
      <c r="B7" s="1">
        <v>10</v>
      </c>
      <c r="F7" s="162"/>
      <c r="G7" s="125"/>
      <c r="H7" s="125"/>
      <c r="I7" s="144"/>
      <c r="J7" s="144"/>
      <c r="K7" s="125"/>
      <c r="L7" s="125"/>
      <c r="M7" s="125"/>
      <c r="N7" s="125"/>
      <c r="O7" s="125"/>
      <c r="P7" s="125"/>
      <c r="Q7" s="125"/>
      <c r="R7" s="125"/>
      <c r="S7" s="125"/>
      <c r="T7" s="125"/>
      <c r="U7" s="125"/>
      <c r="V7" s="144"/>
      <c r="W7" s="125"/>
      <c r="X7" s="125"/>
      <c r="Y7" s="125"/>
      <c r="Z7" s="125"/>
      <c r="AA7" s="125"/>
      <c r="AB7" s="125"/>
      <c r="AC7" s="125"/>
      <c r="AD7" s="125"/>
      <c r="AE7" s="125"/>
      <c r="AF7" s="125"/>
      <c r="AG7" s="125"/>
      <c r="AH7" s="125"/>
      <c r="AI7" s="125"/>
      <c r="AJ7" s="125"/>
      <c r="AK7" s="125"/>
      <c r="AL7" s="125"/>
      <c r="AM7" s="125"/>
      <c r="AN7" s="712"/>
      <c r="AO7" s="181" t="s">
        <v>422</v>
      </c>
      <c r="AP7" s="181">
        <v>10</v>
      </c>
      <c r="AQ7" s="181" t="s">
        <v>422</v>
      </c>
      <c r="AR7" s="181">
        <v>10</v>
      </c>
      <c r="AS7" s="181" t="s">
        <v>422</v>
      </c>
      <c r="AT7" s="181">
        <v>10</v>
      </c>
      <c r="AU7" s="181" t="s">
        <v>422</v>
      </c>
      <c r="AV7" s="181">
        <v>10</v>
      </c>
      <c r="AW7" s="125"/>
      <c r="BB7"/>
      <c r="BC7"/>
      <c r="BD7"/>
      <c r="BE7"/>
      <c r="BF7"/>
      <c r="BH7" s="712"/>
      <c r="BI7" s="181" t="s">
        <v>422</v>
      </c>
      <c r="BJ7" s="181">
        <v>10</v>
      </c>
      <c r="BK7" s="181" t="s">
        <v>422</v>
      </c>
      <c r="BL7" s="181">
        <v>10</v>
      </c>
      <c r="BO7"/>
      <c r="BP7"/>
      <c r="BQ7"/>
      <c r="BR7"/>
      <c r="BS7"/>
      <c r="BT7"/>
      <c r="BU7"/>
      <c r="BX7"/>
      <c r="BY7"/>
    </row>
    <row r="8" spans="1:79" x14ac:dyDescent="0.2">
      <c r="F8" s="138" t="s">
        <v>229</v>
      </c>
      <c r="G8" s="154">
        <f>'Strömung-Temp-Fouling'!F4</f>
        <v>10.500672043010752</v>
      </c>
      <c r="H8" s="138" t="s">
        <v>233</v>
      </c>
      <c r="I8" s="139">
        <f>'Strömung-Temp-Fouling'!B4</f>
        <v>12.2</v>
      </c>
      <c r="J8" s="157" t="s">
        <v>229</v>
      </c>
      <c r="K8" s="139">
        <f>Eingabe!H24</f>
        <v>7.61</v>
      </c>
      <c r="L8" s="35"/>
      <c r="M8" s="139">
        <f>Eingabe!I24</f>
        <v>690</v>
      </c>
      <c r="N8" s="35"/>
      <c r="O8" s="139">
        <f>Eingabe!J24</f>
        <v>12</v>
      </c>
      <c r="P8" s="35"/>
      <c r="Q8" s="139">
        <f>Eingabe!K24</f>
        <v>70</v>
      </c>
      <c r="R8" s="35"/>
      <c r="S8" s="139">
        <f>Eingabe!L24</f>
        <v>20</v>
      </c>
      <c r="T8" s="35"/>
      <c r="U8" s="139">
        <f>Eingabe!M24</f>
        <v>100</v>
      </c>
      <c r="V8" s="26"/>
      <c r="W8" s="157" t="s">
        <v>229</v>
      </c>
      <c r="X8" s="35">
        <f>Eingabe!D38</f>
        <v>2.5</v>
      </c>
      <c r="Z8" s="35">
        <f>Eingabe!E38</f>
        <v>0</v>
      </c>
      <c r="AB8" s="35">
        <f>Eingabe!F38</f>
        <v>560</v>
      </c>
      <c r="AD8" s="35">
        <f>Eingabe!G38</f>
        <v>0</v>
      </c>
      <c r="AF8" s="35">
        <f>Eingabe!H38</f>
        <v>0</v>
      </c>
      <c r="AH8" s="1">
        <f>Eingabe!I38</f>
        <v>113.26018807351281</v>
      </c>
      <c r="AJ8" s="1">
        <f>Eingabe!J38</f>
        <v>12</v>
      </c>
      <c r="AL8" s="1">
        <f>Eingabe!K38</f>
        <v>0.69</v>
      </c>
      <c r="AN8" s="712"/>
      <c r="AO8" s="181" t="s">
        <v>423</v>
      </c>
      <c r="AP8" s="181"/>
      <c r="AQ8" s="181" t="s">
        <v>423</v>
      </c>
      <c r="AR8" s="181"/>
      <c r="AS8" s="181" t="s">
        <v>423</v>
      </c>
      <c r="AT8" s="181"/>
      <c r="AU8" s="181" t="s">
        <v>423</v>
      </c>
      <c r="AV8" s="181"/>
      <c r="AW8" s="157" t="s">
        <v>229</v>
      </c>
      <c r="AX8" s="1">
        <f>Eingabe!R38</f>
        <v>0.1</v>
      </c>
      <c r="AZ8" s="1">
        <f>Eingabe!S38</f>
        <v>3</v>
      </c>
      <c r="BB8">
        <f>Eingabe!T38</f>
        <v>10</v>
      </c>
      <c r="BC8"/>
      <c r="BD8">
        <f>Eingabe!U38</f>
        <v>0</v>
      </c>
      <c r="BE8"/>
      <c r="BF8">
        <f>Eingabe!V38</f>
        <v>0</v>
      </c>
      <c r="BH8" s="712"/>
      <c r="BI8" s="181" t="s">
        <v>423</v>
      </c>
      <c r="BJ8" s="181"/>
      <c r="BK8" s="181" t="s">
        <v>423</v>
      </c>
      <c r="BL8" s="181"/>
      <c r="BM8" s="157" t="s">
        <v>229</v>
      </c>
      <c r="BN8" s="139">
        <f>Eingabe!D49</f>
        <v>12.2</v>
      </c>
      <c r="BP8" s="139">
        <f>Eingabe!E49</f>
        <v>300</v>
      </c>
      <c r="BR8" s="139">
        <f>Eingabe!F49</f>
        <v>0</v>
      </c>
      <c r="BT8" s="139">
        <f>Eingabe!H49</f>
        <v>2158.3388333333332</v>
      </c>
      <c r="BU8"/>
      <c r="BV8" s="139">
        <f>Eingabe!I49</f>
        <v>1740.5958333333331</v>
      </c>
      <c r="BX8" s="139">
        <f>Eingabe!L49</f>
        <v>3000</v>
      </c>
      <c r="BY8"/>
      <c r="BZ8" s="139">
        <f>Eingabe!O49</f>
        <v>0</v>
      </c>
    </row>
    <row r="9" spans="1:79" x14ac:dyDescent="0.2">
      <c r="F9" s="162"/>
      <c r="G9" s="125"/>
      <c r="H9" s="138" t="s">
        <v>234</v>
      </c>
      <c r="I9" s="139">
        <f>'Strömung-Temp-Fouling'!C4</f>
        <v>5.9999999999999991</v>
      </c>
      <c r="J9" s="144"/>
      <c r="K9" s="125"/>
      <c r="L9" s="125"/>
      <c r="M9" s="125"/>
      <c r="N9" s="125"/>
      <c r="O9" s="125"/>
      <c r="P9" s="125"/>
      <c r="Q9" s="125"/>
      <c r="R9" s="125"/>
      <c r="S9" s="125"/>
      <c r="T9" s="125"/>
      <c r="U9" s="125"/>
      <c r="V9" s="144"/>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BB9"/>
      <c r="BC9"/>
      <c r="BD9"/>
      <c r="BE9"/>
      <c r="BF9"/>
      <c r="BO9"/>
      <c r="BP9"/>
      <c r="BQ9"/>
      <c r="BR9"/>
      <c r="BS9"/>
      <c r="BT9"/>
      <c r="BU9"/>
      <c r="BX9"/>
      <c r="BY9"/>
    </row>
    <row r="10" spans="1:79" x14ac:dyDescent="0.2">
      <c r="A10" s="27"/>
      <c r="B10" s="28"/>
      <c r="C10" s="29" t="s">
        <v>34</v>
      </c>
      <c r="F10" s="162"/>
      <c r="G10" s="125"/>
      <c r="H10" s="138" t="s">
        <v>235</v>
      </c>
      <c r="I10" s="139">
        <f>'Strömung-Temp-Fouling'!D4</f>
        <v>17.2</v>
      </c>
      <c r="J10" s="144"/>
      <c r="K10" s="125"/>
      <c r="L10" s="125"/>
      <c r="M10" s="125"/>
      <c r="N10" s="125"/>
      <c r="O10" s="125"/>
      <c r="P10" s="125"/>
      <c r="Q10" s="125"/>
      <c r="R10" s="125"/>
      <c r="S10" s="125"/>
      <c r="T10" s="125"/>
      <c r="U10" s="125"/>
      <c r="V10" s="144"/>
      <c r="W10" s="125"/>
      <c r="X10" s="125"/>
      <c r="Y10" s="125"/>
      <c r="Z10" s="125"/>
      <c r="AA10" s="125"/>
      <c r="AB10" s="125"/>
      <c r="AC10" s="125"/>
      <c r="AD10" s="125"/>
      <c r="AE10" s="125"/>
      <c r="AF10" s="125"/>
      <c r="AG10" s="125"/>
      <c r="AH10" s="125"/>
      <c r="AI10" s="125"/>
      <c r="AJ10" s="125"/>
      <c r="AK10" s="125"/>
      <c r="AL10" s="125"/>
      <c r="AM10" s="125"/>
      <c r="AN10" s="138" t="s">
        <v>229</v>
      </c>
      <c r="AO10" s="125" t="str">
        <f>Eingabe!M38</f>
        <v>Sehr hoch (≥10^6 CFU/ml)</v>
      </c>
      <c r="AP10" s="125">
        <f>IF(AO10="Sehr hoch (≥10^6 CFU/ml)",AP4,IF(AO10="Moderat (≥10^4 &lt;10^6 CFU/ml)",AP5,IF(AO10="Niedrig  (≥0 &lt;10^4 CFU/ml)",AP6,IF(AO10="Tests negativ",AP7,IF(AO10="Kein Test durchgeführt","","")))))</f>
        <v>0</v>
      </c>
      <c r="AQ10" s="125" t="str">
        <f>Eingabe!N38</f>
        <v>Moderat (≥10^4 &lt;10^6 CFU/ml)</v>
      </c>
      <c r="AR10" s="125">
        <f>IF(AQ10="Sehr hoch (≥10^6 CFU/ml)",AR4,IF(AQ10="Moderat (≥10^4 &lt;10^6 CFU/ml)",AR5,IF(AQ10="Niedrig  (≥0 &lt;10^4 CFU/ml)",AR6,IF(AQ10="Tests negativ",AR7,IF(AQ10="Kein Test durchgeführt","","")))))</f>
        <v>5</v>
      </c>
      <c r="AS10" s="125" t="str">
        <f>Eingabe!O38</f>
        <v>Sehr hoch (≥10^6 CFU/ml)</v>
      </c>
      <c r="AT10" s="125">
        <f>IF(AS10="Sehr hoch (≥10^6 CFU/ml)",AT4,IF(AS10="Moderat (≥10^4 &lt;10^6 CFU/ml)",AT5,IF(AS10="Niedrig  (≥0 &lt;10^4 CFU/ml)",AT6,IF(AS10="Tests negativ",AT7,IF(AS10="Kein Test durchgeführt","","")))))</f>
        <v>0</v>
      </c>
      <c r="AU10" s="125" t="str">
        <f>Eingabe!P38</f>
        <v>Sehr hoch (≥10^6 CFU/ml)</v>
      </c>
      <c r="AV10" s="125">
        <f>IF(AU10="Sehr hoch (≥10^6 CFU/ml)",AV4,IF(AU10="Moderat (≥10^4 &lt;10^6 CFU/ml)",AV5,IF(AU10="Niedrig  (≥0 &lt;10^4 CFU/ml)",AV6,IF(AU10="Tests negativ",AV7,IF(AU10="Kein Test durchgeführt","","")))))</f>
        <v>0</v>
      </c>
      <c r="AW10" s="125"/>
      <c r="BB10"/>
      <c r="BC10"/>
      <c r="BD10"/>
      <c r="BE10"/>
      <c r="BF10"/>
      <c r="BH10" s="138" t="s">
        <v>229</v>
      </c>
      <c r="BI10" s="1" t="str">
        <f>Eingabe!W38</f>
        <v>Kein Test durchgeführt</v>
      </c>
      <c r="BJ10" s="125" t="str">
        <f>IF(BI10="Sehr hoch (≥10^6 CFU/ml)",BJ4,IF(BI10="Moderat (≥10^4 &lt;10^6 CFU/ml)",BJ5,IF(BI10="Niedrig  (≥0 &lt;10^4 CFU/ml)",BJ6,IF(BI10="Tests negativ",BJ7,IF(BI10="Kein Test durchgeführt","","")))))</f>
        <v/>
      </c>
      <c r="BK10" s="1" t="str">
        <f>Eingabe!X38</f>
        <v>Tests negativ</v>
      </c>
      <c r="BL10" s="125">
        <f>IF(BK10="Sehr hoch (≥10^6 CFU/ml)",BL4,IF(BK10="Moderat (≥10^4 &lt;10^6 CFU/ml)",BL5,IF(BK10="Niedrig  (≥0 &lt;10^4 CFU/ml)",BL6,IF(BK10="Tests negativ",BL7,IF(BK10="Kein Test durchgeführt","","")))))</f>
        <v>10</v>
      </c>
      <c r="BO10"/>
      <c r="BP10"/>
      <c r="BQ10"/>
      <c r="BR10"/>
      <c r="BS10"/>
      <c r="BT10"/>
      <c r="BU10"/>
      <c r="BX10"/>
      <c r="BY10"/>
    </row>
    <row r="11" spans="1:79" x14ac:dyDescent="0.2">
      <c r="A11" s="24" t="s">
        <v>60</v>
      </c>
      <c r="B11" s="1" t="s">
        <v>419</v>
      </c>
      <c r="C11" s="30">
        <v>0</v>
      </c>
      <c r="F11" s="121"/>
      <c r="G11" s="125"/>
      <c r="H11" s="125"/>
      <c r="I11" s="145"/>
      <c r="J11" s="144"/>
      <c r="K11" s="125"/>
      <c r="L11" s="125"/>
      <c r="M11" s="125"/>
      <c r="N11" s="125"/>
      <c r="O11" s="125"/>
      <c r="P11" s="125"/>
      <c r="Q11" s="125"/>
      <c r="R11" s="125"/>
      <c r="S11" s="125"/>
      <c r="T11" s="125"/>
      <c r="U11" s="125"/>
      <c r="V11" s="144"/>
      <c r="W11"/>
      <c r="X11" s="188" t="b">
        <f>IF(Eingabe!D37="Wert vorhanden",TRUE,FALSE)</f>
        <v>1</v>
      </c>
      <c r="Y11"/>
      <c r="Z11" s="188" t="b">
        <f>IF(Eingabe!E37="Wert vorhanden",TRUE,FALSE)</f>
        <v>0</v>
      </c>
      <c r="AA11"/>
      <c r="AB11" s="188" t="b">
        <f>IF(Eingabe!F37="Wert vorhanden",TRUE,FALSE)</f>
        <v>1</v>
      </c>
      <c r="AC11" s="125"/>
      <c r="AD11" s="188" t="b">
        <f>IF(Eingabe!G37="Wert vorhanden",TRUE,FALSE)</f>
        <v>0</v>
      </c>
      <c r="AE11" s="125"/>
      <c r="AF11" s="188" t="b">
        <f>IF(Eingabe!H37="Wert vorhanden",TRUE,FALSE)</f>
        <v>0</v>
      </c>
      <c r="AG11" s="125"/>
      <c r="AH11" s="188" t="b">
        <f>IF(Eingabe!I37="Wert vorhanden",TRUE,FALSE)</f>
        <v>1</v>
      </c>
      <c r="AI11" s="125"/>
      <c r="AJ11" s="188" t="b">
        <f>IF(Eingabe!J37="Wert vorhanden",TRUE,FALSE)</f>
        <v>1</v>
      </c>
      <c r="AK11" s="125"/>
      <c r="AL11" s="188" t="b">
        <f>IF(Eingabe!K37="Wert vorhanden",TRUE,FALSE)</f>
        <v>1</v>
      </c>
      <c r="AM11" s="125"/>
      <c r="AN11" s="125"/>
      <c r="AO11" s="117"/>
      <c r="AP11" s="188" t="b">
        <f>ISNUMBER(AP10)</f>
        <v>1</v>
      </c>
      <c r="AQ11" s="117"/>
      <c r="AR11" s="188" t="b">
        <f>ISNUMBER(AR10)</f>
        <v>1</v>
      </c>
      <c r="AS11" s="117"/>
      <c r="AT11" s="188" t="b">
        <f>ISNUMBER(AT10)</f>
        <v>1</v>
      </c>
      <c r="AU11" s="125"/>
      <c r="AV11" s="188" t="b">
        <f>ISNUMBER(AV10)</f>
        <v>1</v>
      </c>
      <c r="AX11" s="188" t="b">
        <f>IF(Eingabe!R37="Wert vorhanden",TRUE,FALSE)</f>
        <v>1</v>
      </c>
      <c r="AZ11" s="188" t="b">
        <f>IF(Eingabe!S37="Wert vorhanden",TRUE,FALSE)</f>
        <v>1</v>
      </c>
      <c r="BB11" s="188" t="b">
        <f>IF(Eingabe!T37="Wert vorhanden",TRUE,FALSE)</f>
        <v>1</v>
      </c>
      <c r="BC11"/>
      <c r="BD11" s="188" t="b">
        <f>IF(Eingabe!U37="Wert vorhanden",TRUE,FALSE)</f>
        <v>0</v>
      </c>
      <c r="BE11"/>
      <c r="BF11" s="188" t="b">
        <f>IF(Eingabe!V37="Wert vorhanden",TRUE,FALSE)</f>
        <v>0</v>
      </c>
      <c r="BJ11" s="188" t="b">
        <f>ISNUMBER(BJ10)</f>
        <v>0</v>
      </c>
      <c r="BK11" s="125"/>
      <c r="BL11" s="188" t="b">
        <f>ISNUMBER(BL10)</f>
        <v>1</v>
      </c>
      <c r="BO11"/>
      <c r="BP11"/>
      <c r="BQ11"/>
      <c r="BR11"/>
      <c r="BS11"/>
      <c r="BT11" s="188" t="b">
        <f>Eingabe!A13</f>
        <v>1</v>
      </c>
      <c r="BU11"/>
      <c r="BV11" s="188" t="b">
        <f>Eingabe!A14</f>
        <v>1</v>
      </c>
      <c r="BX11" s="188" t="b">
        <f>IF(Eingabe!L48="Wert vorhanden",TRUE,FALSE)</f>
        <v>1</v>
      </c>
      <c r="BY11"/>
      <c r="BZ11" s="188" t="b">
        <f>Eingabe!M49</f>
        <v>1</v>
      </c>
    </row>
    <row r="12" spans="1:79" x14ac:dyDescent="0.2">
      <c r="A12" s="24"/>
      <c r="B12" s="1" t="s">
        <v>420</v>
      </c>
      <c r="C12" s="30">
        <v>3</v>
      </c>
      <c r="F12" s="121"/>
      <c r="G12" s="125"/>
      <c r="H12" s="125"/>
      <c r="I12" s="144"/>
      <c r="J12" s="144"/>
      <c r="K12" s="125"/>
      <c r="L12" s="125"/>
      <c r="M12" s="125"/>
      <c r="N12" s="125"/>
      <c r="O12" s="125"/>
      <c r="P12" s="125"/>
      <c r="Q12" s="125"/>
      <c r="R12" s="125"/>
      <c r="S12" s="125"/>
      <c r="T12" s="125"/>
      <c r="U12" s="146"/>
      <c r="V12" s="144"/>
      <c r="W12"/>
      <c r="X12"/>
      <c r="Y12"/>
      <c r="Z12"/>
      <c r="AA12"/>
      <c r="AB12"/>
      <c r="AC12" s="125"/>
      <c r="AD12" s="125"/>
      <c r="AE12" s="125"/>
      <c r="AF12" s="125"/>
      <c r="AG12" s="125"/>
      <c r="AH12" s="125"/>
      <c r="AI12" s="125"/>
      <c r="AJ12" s="125"/>
      <c r="AK12" s="125"/>
      <c r="AL12" s="125"/>
      <c r="AM12" s="125"/>
      <c r="AN12" s="125"/>
      <c r="AO12" s="117"/>
      <c r="AP12" s="117"/>
      <c r="AQ12" s="117"/>
      <c r="AR12" s="117"/>
      <c r="AS12" s="117"/>
      <c r="AT12" s="117"/>
      <c r="AU12" s="125"/>
      <c r="AV12" s="125"/>
      <c r="BB12"/>
      <c r="BC12"/>
      <c r="BD12"/>
      <c r="BE12"/>
      <c r="BF12"/>
      <c r="BO12"/>
      <c r="BP12"/>
      <c r="BQ12"/>
      <c r="BR12"/>
      <c r="BS12"/>
      <c r="BT12"/>
      <c r="BU12"/>
      <c r="BX12"/>
      <c r="BY12"/>
    </row>
    <row r="13" spans="1:79" x14ac:dyDescent="0.2">
      <c r="A13" s="24"/>
      <c r="B13" s="1" t="s">
        <v>421</v>
      </c>
      <c r="C13" s="30">
        <v>6</v>
      </c>
      <c r="F13" s="138" t="s">
        <v>227</v>
      </c>
      <c r="G13" s="153">
        <f>'Strömung-Temp-Fouling'!F11</f>
        <v>21</v>
      </c>
      <c r="H13" s="125"/>
      <c r="I13" s="153">
        <f>'Strömung-Temp-Fouling'!E11</f>
        <v>5</v>
      </c>
      <c r="J13" s="157" t="s">
        <v>227</v>
      </c>
      <c r="K13" s="153">
        <f>IF(K8&gt;K6,L4+(L6-L4)/(K6-K4)*(K8-K4),IF(K8&lt;K6,L5+(L6-L5)/(K6-K5)*(K8-K5),IF(K8=K6,L6,"")))</f>
        <v>8.7799999999999994</v>
      </c>
      <c r="L13" s="134"/>
      <c r="M13" s="153">
        <f>N4+(N6-N4)/(M6-M4)*(M8-M4)</f>
        <v>-7.25</v>
      </c>
      <c r="N13" s="36"/>
      <c r="O13" s="153">
        <f>P4+(P6-P4)/(O6-O4)*(O8-O4)</f>
        <v>4</v>
      </c>
      <c r="P13" s="35"/>
      <c r="Q13" s="153">
        <f>R4+(R6-R4)/(Q6-Q4)*(Q8-Q4)</f>
        <v>3</v>
      </c>
      <c r="R13" s="36"/>
      <c r="S13" s="153">
        <f>T4+(T6-T4)/(S6-S4)*(S8-S4)</f>
        <v>9.5</v>
      </c>
      <c r="T13" s="35"/>
      <c r="U13" s="153">
        <f>V4+(V6-V4)/(U6-U4)*(U8-U4)</f>
        <v>9.875</v>
      </c>
      <c r="V13" s="25"/>
      <c r="W13" s="157" t="s">
        <v>227</v>
      </c>
      <c r="X13" s="153">
        <f>Y4+(Y6-Y4)/(X6-X4)*(X8-X4)</f>
        <v>8.2142857142857153</v>
      </c>
      <c r="Y13"/>
      <c r="Z13" s="153">
        <f>AA4+(AA6-AA4)/(Z6-Z4)*(Z8-Z4)</f>
        <v>10</v>
      </c>
      <c r="AA13"/>
      <c r="AB13" s="153">
        <f>AC4+(AC6-AC4)/(AB6-AB4)*(AB8-AB4)</f>
        <v>-1.2000000000000002</v>
      </c>
      <c r="AC13" s="36"/>
      <c r="AD13" s="153">
        <f>AE4+(AE6-AE4)/(AD6-AD4)*(AD8-AD4)</f>
        <v>10</v>
      </c>
      <c r="AE13" s="36"/>
      <c r="AF13" s="153">
        <f>AG4+(AG6-AG4)/(AF6-AF4)*(AF8-AF4)</f>
        <v>10</v>
      </c>
      <c r="AG13" s="36"/>
      <c r="AH13" s="153">
        <f>AI4+(AI6-AI4)/(AH6-AH4)*(AH8-AH4)</f>
        <v>8.1123301987747869</v>
      </c>
      <c r="AI13" s="36"/>
      <c r="AJ13" s="153">
        <f>AK4+(AK6-AK4)/(AJ6-AJ4)*(AJ8-AJ4)</f>
        <v>-1.0803324099722991</v>
      </c>
      <c r="AK13" s="36"/>
      <c r="AL13" s="153">
        <f>AM4+(AM6-AM4)/(AL6-AL4)*(AL8-AL4)</f>
        <v>-7.2499999999999982</v>
      </c>
      <c r="AM13" s="36"/>
      <c r="AN13" s="138" t="s">
        <v>227</v>
      </c>
      <c r="AO13" s="117"/>
      <c r="AP13" s="153">
        <f>AP10</f>
        <v>0</v>
      </c>
      <c r="AQ13" s="117"/>
      <c r="AR13" s="153">
        <f>AR10</f>
        <v>5</v>
      </c>
      <c r="AS13" s="117"/>
      <c r="AT13" s="153">
        <f>AT10</f>
        <v>0</v>
      </c>
      <c r="AU13" s="125"/>
      <c r="AV13" s="153">
        <f>AV10</f>
        <v>0</v>
      </c>
      <c r="AW13" s="157" t="s">
        <v>227</v>
      </c>
      <c r="AX13" s="153">
        <f>AY4+(AY6-AY4)/(AX6-AX4)*(AX8-AX4)</f>
        <v>9.9499999999999993</v>
      </c>
      <c r="AZ13" s="153">
        <f>BA4+(BA6-BA4)/(AZ6-AZ4)*(AZ8-AZ4)</f>
        <v>5</v>
      </c>
      <c r="BB13" s="153">
        <f>BC4+(BC6-BC4)/(BB6-BB4)*(BB8-BB4)</f>
        <v>5</v>
      </c>
      <c r="BC13"/>
      <c r="BD13" s="153">
        <f>BE4+(BE6-BE4)/(BD6-BD4)*(BD8-BD4)</f>
        <v>10</v>
      </c>
      <c r="BE13"/>
      <c r="BF13" s="153">
        <f>BG4+(BG6-BG4)/(BF6-BF4)*(BF8-BF4)</f>
        <v>10</v>
      </c>
      <c r="BJ13" s="153" t="str">
        <f>BJ10</f>
        <v/>
      </c>
      <c r="BL13" s="153">
        <f>BL10</f>
        <v>10</v>
      </c>
      <c r="BM13" s="157" t="s">
        <v>227</v>
      </c>
      <c r="BN13" s="153">
        <f>IF(BN8&lt;BN5,BO4+(BO5-BO4)/(BN5-BN4)*(BN8-BN4),IF(BN8&gt;BN5,BO5+(BO6-BO5)/(BN6-BN5)*(BN8-BN5),BO5))</f>
        <v>1.9999999999999991</v>
      </c>
      <c r="BO13"/>
      <c r="BP13" s="153">
        <f>IF(BP8&lt;BP5,BQ4+(BQ5-BQ4)/(BP5-BP4)*(BP8-BP4),IF(BP8&gt;BP5,BQ5+(BQ6-BQ5)/(BP6-BP5)*(BP8-BP5),BQ5))</f>
        <v>6.6326530612244898</v>
      </c>
      <c r="BQ13"/>
      <c r="BR13" s="153">
        <f>IF(BR8=0,10,IF(BR8&gt;BR5,BS4+(BS5-BS4)/(BR5-BR4)*(BR8-BR4),IF(BR8&lt;BR5,BS5+(BS6-BS5)/(BR6-BR5)*(BR8-BR5),BS5)))</f>
        <v>10</v>
      </c>
      <c r="BS13"/>
      <c r="BT13" s="153">
        <f>IF(BT8&lt;BT5,BU4+(BU5-BU4)/(BT5-BT4)*(BT8-BT4),IF(BT8&gt;BT5,BU5+(BU6-BU5)/(BT6-BT5)*(BT8-BT5),BU5))</f>
        <v>6.2847272041062805</v>
      </c>
      <c r="BU13"/>
      <c r="BV13" s="153">
        <f>IF(BV8&lt;BV5,BW4+(BW5-BW4)/(BV5-BV4)*(BV8-BV4),IF(BV8&gt;BV5,BW5+(BW6-BW5)/(BV6-BV5)*(BV8-BV5),BW5))</f>
        <v>5.9063368055555552</v>
      </c>
      <c r="BX13" s="153">
        <f>IF(BX8&lt;BX5,BY4+(BY5-BY4)/(BX5-BX4)*(BX8-BX4),IF(BX8&gt;BX5,BY5+(BY6-BY5)/(BX6-BX5)*(BX8-BX5),BY5))</f>
        <v>10</v>
      </c>
      <c r="BY13"/>
      <c r="BZ13" s="153">
        <f>CA4+(CA6-CA4)/(BZ6-BZ4)*(BZ8-BZ4)</f>
        <v>13.333333333333332</v>
      </c>
    </row>
    <row r="14" spans="1:79" x14ac:dyDescent="0.2">
      <c r="A14" s="22"/>
      <c r="B14" s="32" t="s">
        <v>422</v>
      </c>
      <c r="C14" s="33">
        <v>10</v>
      </c>
      <c r="F14" s="138" t="s">
        <v>228</v>
      </c>
      <c r="G14" s="152">
        <f>'Strömung-Temp-Fouling'!F12</f>
        <v>7.7777777777777777</v>
      </c>
      <c r="H14" s="125"/>
      <c r="I14" s="152">
        <f>'Strömung-Temp-Fouling'!E12</f>
        <v>2.3809523809523809</v>
      </c>
      <c r="J14" s="157" t="s">
        <v>228</v>
      </c>
      <c r="K14" s="152">
        <f>IF(K13&gt;0,K13,0)</f>
        <v>8.7799999999999994</v>
      </c>
      <c r="L14" s="125"/>
      <c r="M14" s="152">
        <f>IF(M13&gt;0,M13,0)</f>
        <v>0</v>
      </c>
      <c r="N14" s="125"/>
      <c r="O14" s="152">
        <f>IF(O13&gt;0,O13,0)</f>
        <v>4</v>
      </c>
      <c r="P14" s="142"/>
      <c r="Q14" s="152">
        <f>IF(Q13&gt;0,Q13,0)</f>
        <v>3</v>
      </c>
      <c r="R14" s="125"/>
      <c r="S14" s="152">
        <f>IF(S13&gt;0,S13,0)</f>
        <v>9.5</v>
      </c>
      <c r="T14" s="142"/>
      <c r="U14" s="152">
        <f>IF(U13&gt;0,U13,0)</f>
        <v>9.875</v>
      </c>
      <c r="V14" s="144"/>
      <c r="W14" s="157" t="s">
        <v>228</v>
      </c>
      <c r="X14" s="152">
        <f>IF(Eingabe!D38&gt;0,IF(X13&gt;0,X13,0),"")</f>
        <v>8.2142857142857153</v>
      </c>
      <c r="Y14"/>
      <c r="Z14" s="152" t="str">
        <f>IF(Eingabe!E38&gt;0,IF(Z13&gt;0,Z13,0),"")</f>
        <v/>
      </c>
      <c r="AA14"/>
      <c r="AB14" s="152">
        <f>IF(Eingabe!F38&gt;0,IF(AB13&gt;0,AB13,0),"")</f>
        <v>0</v>
      </c>
      <c r="AC14" s="125"/>
      <c r="AD14" s="152" t="str">
        <f>IF(Eingabe!G38&gt;0,IF(AD13&gt;0,AD13,0),"")</f>
        <v/>
      </c>
      <c r="AE14" s="125"/>
      <c r="AF14" s="152" t="str">
        <f>IF(Eingabe!H38&gt;0,IF(AF13&gt;0,AF13,0),"")</f>
        <v/>
      </c>
      <c r="AG14" s="125"/>
      <c r="AH14" s="152">
        <f>IF(Eingabe!J38&gt;0,IF(AH13&gt;0,AH13,0),"")</f>
        <v>8.1123301987747869</v>
      </c>
      <c r="AI14" s="125"/>
      <c r="AJ14" s="152">
        <f>IF(Eingabe!M38&gt;0,IF(AJ13&gt;0,AJ13,0),"")</f>
        <v>0</v>
      </c>
      <c r="AK14" s="125"/>
      <c r="AL14" s="152">
        <f>IF(Eingabe!O38&gt;0,IF(AL13&gt;0,AL13,0),"")</f>
        <v>0</v>
      </c>
      <c r="AM14" s="125"/>
      <c r="AN14" s="138" t="s">
        <v>228</v>
      </c>
      <c r="AO14" s="117"/>
      <c r="AP14" s="152">
        <f>AP13</f>
        <v>0</v>
      </c>
      <c r="AQ14" s="117"/>
      <c r="AR14" s="152">
        <f>AR13</f>
        <v>5</v>
      </c>
      <c r="AS14" s="117"/>
      <c r="AT14" s="152">
        <f>AT13</f>
        <v>0</v>
      </c>
      <c r="AU14" s="125"/>
      <c r="AV14" s="152">
        <f>AV13</f>
        <v>0</v>
      </c>
      <c r="AW14" s="157" t="s">
        <v>228</v>
      </c>
      <c r="AX14" s="152">
        <f>IF(Eingabe!R38&gt;0,IF(AX13&gt;0,AX13,0),"")</f>
        <v>9.9499999999999993</v>
      </c>
      <c r="AZ14" s="152">
        <f>IF(Eingabe!S38&gt;0,IF(AZ13&gt;0,AZ13,0),"")</f>
        <v>5</v>
      </c>
      <c r="BB14" s="152">
        <f>IF(Eingabe!T38&gt;0,IF(BB13&gt;0,BB13,0),"")</f>
        <v>5</v>
      </c>
      <c r="BC14"/>
      <c r="BD14" s="152" t="str">
        <f>IF(Eingabe!U38&gt;0,IF(BD13&gt;0,BD13,0),"")</f>
        <v/>
      </c>
      <c r="BE14"/>
      <c r="BF14" s="152" t="str">
        <f>IF(Eingabe!V38&gt;0,IF(BF13&gt;0,BF13,0),"")</f>
        <v/>
      </c>
      <c r="BJ14" s="152" t="str">
        <f>BJ13</f>
        <v/>
      </c>
      <c r="BL14" s="152">
        <f>BL13</f>
        <v>10</v>
      </c>
      <c r="BM14" s="157" t="s">
        <v>228</v>
      </c>
      <c r="BN14" s="152">
        <f>IF(BN13&lt;0,0,IF(BN13&gt;10,10,BN13))</f>
        <v>1.9999999999999991</v>
      </c>
      <c r="BO14"/>
      <c r="BP14" s="152">
        <f>IF(BP13&lt;0,0,IF(BP13&gt;10,10,BP13))</f>
        <v>6.6326530612244898</v>
      </c>
      <c r="BQ14"/>
      <c r="BR14" s="152">
        <f>IF(BR13&lt;0,0,IF(BR13&gt;10,10,BR13))</f>
        <v>10</v>
      </c>
      <c r="BS14"/>
      <c r="BT14" s="152">
        <f>IF(BT11=TRUE,IF(BT13&lt;0,0,IF(BT13&gt;10,10,BT13)),"")</f>
        <v>6.2847272041062805</v>
      </c>
      <c r="BU14"/>
      <c r="BV14" s="152">
        <f>IF(BV11=TRUE,IF(BV13&lt;0,0,IF(BV13&gt;10,10,BV13)),"")</f>
        <v>5.9063368055555552</v>
      </c>
      <c r="BX14" s="152">
        <f>IF(BX11=TRUE,IF(BX13&lt;0,0,IF(BX13&gt;10,10,BX13)),"")</f>
        <v>10</v>
      </c>
      <c r="BY14"/>
      <c r="BZ14" s="152">
        <f>IF(BZ11=TRUE,IF(BZ13&lt;0,0,IF(BZ13&gt;10,10,BZ13)),"")</f>
        <v>10</v>
      </c>
    </row>
    <row r="15" spans="1:79" x14ac:dyDescent="0.2">
      <c r="A15" s="36"/>
      <c r="B15" s="179" t="s">
        <v>423</v>
      </c>
      <c r="C15" s="186"/>
      <c r="F15" s="187"/>
      <c r="G15" s="188"/>
      <c r="H15" s="125"/>
      <c r="I15" s="189"/>
      <c r="J15" s="190"/>
      <c r="K15" s="188"/>
      <c r="L15" s="125"/>
      <c r="M15" s="188"/>
      <c r="N15" s="125"/>
      <c r="O15" s="188"/>
      <c r="P15" s="142"/>
      <c r="Q15" s="188"/>
      <c r="R15" s="125"/>
      <c r="S15" s="188"/>
      <c r="T15" s="142"/>
      <c r="U15" s="188"/>
      <c r="V15" s="144"/>
      <c r="W15" s="190" t="s">
        <v>429</v>
      </c>
      <c r="X15" s="188">
        <f>IF(X11=TRUE,10,0)</f>
        <v>10</v>
      </c>
      <c r="Y15"/>
      <c r="Z15" s="188">
        <f>IF(Z11=TRUE,10,0)</f>
        <v>0</v>
      </c>
      <c r="AA15"/>
      <c r="AB15" s="188">
        <f>IF(AB11=TRUE,10,0)</f>
        <v>10</v>
      </c>
      <c r="AC15" s="125"/>
      <c r="AD15" s="188">
        <f>IF(AD11=TRUE,10,0)</f>
        <v>0</v>
      </c>
      <c r="AE15" s="125"/>
      <c r="AF15" s="188">
        <f>IF(AF11=TRUE,10,0)</f>
        <v>0</v>
      </c>
      <c r="AG15" s="125"/>
      <c r="AH15" s="188">
        <f>IF(AH11=TRUE,10,0)</f>
        <v>10</v>
      </c>
      <c r="AI15" s="125"/>
      <c r="AJ15" s="188">
        <f>IF(AJ11=TRUE,10,0)</f>
        <v>10</v>
      </c>
      <c r="AK15" s="125"/>
      <c r="AL15" s="188">
        <f>IF(AL11=TRUE,10,0)</f>
        <v>10</v>
      </c>
      <c r="AM15" s="125"/>
      <c r="AN15" s="138" t="s">
        <v>429</v>
      </c>
      <c r="AO15" s="117"/>
      <c r="AP15" s="188">
        <f>IF(AP11=TRUE,10,0)</f>
        <v>10</v>
      </c>
      <c r="AQ15" s="117"/>
      <c r="AR15" s="188">
        <f>IF(AR11=TRUE,10,0)</f>
        <v>10</v>
      </c>
      <c r="AS15" s="125"/>
      <c r="AT15" s="188">
        <f>IF(AT11=TRUE,10,0)</f>
        <v>10</v>
      </c>
      <c r="AU15" s="125"/>
      <c r="AV15" s="188">
        <f>IF(AV11=TRUE,10,0)</f>
        <v>10</v>
      </c>
      <c r="AW15" s="190" t="s">
        <v>429</v>
      </c>
      <c r="AX15" s="188">
        <f>IF(AX11=TRUE,10,0)</f>
        <v>10</v>
      </c>
      <c r="AZ15" s="188">
        <f>IF(AZ11=TRUE,10,0)</f>
        <v>10</v>
      </c>
      <c r="BB15" s="188">
        <f>IF(BB11=TRUE,10,0)</f>
        <v>10</v>
      </c>
      <c r="BC15"/>
      <c r="BD15" s="188">
        <f>IF(BD11=TRUE,10,0)</f>
        <v>0</v>
      </c>
      <c r="BE15"/>
      <c r="BF15" s="188">
        <f>IF(BF11=TRUE,10,0)</f>
        <v>0</v>
      </c>
      <c r="BJ15" s="188">
        <f>IF(BJ11=TRUE,10,0)</f>
        <v>0</v>
      </c>
      <c r="BL15" s="188">
        <f>IF(BL11=TRUE,10,0)</f>
        <v>10</v>
      </c>
      <c r="BN15" s="1">
        <v>10</v>
      </c>
      <c r="BO15"/>
      <c r="BP15">
        <v>10</v>
      </c>
      <c r="BQ15"/>
      <c r="BR15">
        <v>10</v>
      </c>
      <c r="BS15"/>
      <c r="BT15">
        <v>10</v>
      </c>
      <c r="BU15"/>
      <c r="BV15">
        <f>IF(BV11=TRUE,10,0)</f>
        <v>10</v>
      </c>
      <c r="BX15">
        <f>IF(BX11=TRUE,10,0)</f>
        <v>10</v>
      </c>
      <c r="BY15"/>
      <c r="BZ15">
        <f>IF(BZ11=TRUE,10,0)</f>
        <v>10</v>
      </c>
    </row>
    <row r="16" spans="1:79" x14ac:dyDescent="0.2">
      <c r="F16" s="163"/>
      <c r="G16" s="125"/>
      <c r="H16" s="125"/>
      <c r="I16" s="144"/>
      <c r="J16" s="116"/>
      <c r="K16" s="125"/>
      <c r="L16" s="125"/>
      <c r="M16" s="125"/>
      <c r="N16" s="125"/>
      <c r="O16" s="125"/>
      <c r="P16" s="125"/>
      <c r="Q16" s="125"/>
      <c r="R16" s="125"/>
      <c r="S16" s="125"/>
      <c r="T16" s="125"/>
      <c r="U16" s="125"/>
      <c r="V16" s="144"/>
      <c r="W16" s="125"/>
      <c r="X16" s="125"/>
      <c r="Y16" s="125"/>
      <c r="Z16" s="125"/>
      <c r="AA16" s="125"/>
      <c r="AB16" s="125"/>
      <c r="AC16" s="125"/>
      <c r="AD16" s="125"/>
      <c r="AE16" s="125"/>
      <c r="AF16" s="125"/>
      <c r="AG16" s="125"/>
      <c r="AH16" s="125"/>
      <c r="AI16" s="125"/>
      <c r="AJ16" s="125"/>
      <c r="AK16" s="125"/>
      <c r="AL16" s="125"/>
      <c r="AM16" s="125"/>
      <c r="AN16" s="125"/>
      <c r="AO16" s="117"/>
      <c r="AP16" s="117"/>
      <c r="AQ16" s="117"/>
      <c r="AR16" s="125"/>
      <c r="AS16" s="125"/>
      <c r="AT16" s="125"/>
      <c r="AU16" s="125"/>
      <c r="AV16" s="125"/>
      <c r="AW16" s="125"/>
      <c r="BB16"/>
      <c r="BC16"/>
      <c r="BD16"/>
      <c r="BE16"/>
      <c r="BF16"/>
      <c r="BQ16"/>
      <c r="BR16"/>
      <c r="BS16"/>
      <c r="BT16"/>
      <c r="BU16"/>
      <c r="BV16"/>
      <c r="BW16"/>
    </row>
    <row r="17" spans="1:79" x14ac:dyDescent="0.2">
      <c r="F17" s="121"/>
      <c r="G17" s="125"/>
      <c r="H17" s="125"/>
      <c r="I17" s="144"/>
      <c r="J17" s="157" t="s">
        <v>230</v>
      </c>
      <c r="K17" s="36"/>
      <c r="L17" s="125"/>
      <c r="M17" s="135">
        <f>M8/M4</f>
        <v>3.45</v>
      </c>
      <c r="N17" s="36"/>
      <c r="O17" s="135">
        <f>O8/O4</f>
        <v>1.2</v>
      </c>
      <c r="P17" s="36"/>
      <c r="Q17" s="135">
        <f>Q8/Q4</f>
        <v>1.4</v>
      </c>
      <c r="R17" s="36"/>
      <c r="S17" s="135">
        <f>S8/S4</f>
        <v>0.1</v>
      </c>
      <c r="T17" s="36"/>
      <c r="U17" s="135">
        <f>U8/U4</f>
        <v>2.5000000000000001E-2</v>
      </c>
      <c r="V17" s="144"/>
      <c r="W17" s="157" t="s">
        <v>230</v>
      </c>
      <c r="X17" s="135">
        <f>X8/X4</f>
        <v>0.35714285714285715</v>
      </c>
      <c r="Y17" s="125"/>
      <c r="Z17" s="135">
        <f>Z8/Z4</f>
        <v>0</v>
      </c>
      <c r="AA17" s="125"/>
      <c r="AB17" s="135">
        <f>AB8/AB4</f>
        <v>2.2400000000000002</v>
      </c>
      <c r="AC17" s="125"/>
      <c r="AD17" s="135">
        <f>AD8/AD4</f>
        <v>0</v>
      </c>
      <c r="AE17" s="125"/>
      <c r="AF17" s="135">
        <f>AF8/AF4</f>
        <v>0</v>
      </c>
      <c r="AG17" s="125"/>
      <c r="AH17" s="125"/>
      <c r="AI17" s="125"/>
      <c r="AJ17" s="125"/>
      <c r="AK17" s="125"/>
      <c r="AL17" s="125"/>
      <c r="AM17" s="125"/>
      <c r="AN17" s="125"/>
      <c r="AO17" s="117"/>
      <c r="AP17" s="117"/>
      <c r="AQ17" s="117"/>
      <c r="AR17" s="125"/>
      <c r="AS17" s="125"/>
      <c r="AT17" s="125"/>
      <c r="AU17" s="125"/>
      <c r="AV17" s="125"/>
      <c r="AW17" s="157" t="s">
        <v>230</v>
      </c>
      <c r="AX17" s="135">
        <f>AX8/AX4</f>
        <v>0.01</v>
      </c>
      <c r="AZ17" s="135">
        <f>AZ8/AZ4</f>
        <v>1</v>
      </c>
      <c r="BB17" s="135">
        <f>BB8/BB4</f>
        <v>1</v>
      </c>
      <c r="BC17"/>
      <c r="BD17" s="135">
        <f>BD8/BD4</f>
        <v>0</v>
      </c>
      <c r="BE17"/>
      <c r="BF17" s="135">
        <f>BF8/BF4</f>
        <v>0</v>
      </c>
      <c r="BO17"/>
      <c r="BP17"/>
      <c r="BQ17"/>
      <c r="BR17"/>
      <c r="BS17"/>
      <c r="BT17"/>
      <c r="BU17"/>
      <c r="BV17"/>
      <c r="BW17"/>
    </row>
    <row r="18" spans="1:79" x14ac:dyDescent="0.2">
      <c r="C18" s="1" t="s">
        <v>34</v>
      </c>
      <c r="F18" s="121"/>
      <c r="G18" s="125"/>
      <c r="H18" s="125"/>
      <c r="I18" s="144"/>
      <c r="J18" s="157" t="s">
        <v>345</v>
      </c>
      <c r="K18" s="125"/>
      <c r="L18" s="125"/>
      <c r="M18" s="719">
        <f>SUM(M14:U14)</f>
        <v>26.375</v>
      </c>
      <c r="N18" s="724"/>
      <c r="O18" s="724"/>
      <c r="P18" s="724"/>
      <c r="Q18" s="724"/>
      <c r="R18" s="724"/>
      <c r="S18" s="724"/>
      <c r="T18" s="724"/>
      <c r="U18" s="724"/>
      <c r="V18" s="144"/>
      <c r="W18" s="157" t="s">
        <v>430</v>
      </c>
      <c r="X18" s="153">
        <f>IF(X11=TRUE,X14,0)</f>
        <v>8.2142857142857153</v>
      </c>
      <c r="Y18" s="125"/>
      <c r="Z18" s="153">
        <f>IF(Z11=TRUE,Z14,0)</f>
        <v>0</v>
      </c>
      <c r="AA18" s="125"/>
      <c r="AB18" s="153">
        <f>IF(AB11=TRUE,AB14,0)</f>
        <v>0</v>
      </c>
      <c r="AC18" s="125"/>
      <c r="AD18" s="153">
        <f>IF(AD11=TRUE,AD14,0)</f>
        <v>0</v>
      </c>
      <c r="AE18" s="125"/>
      <c r="AF18" s="153">
        <f>IF(AF11=TRUE,AF14,0)</f>
        <v>0</v>
      </c>
      <c r="AG18" s="125"/>
      <c r="AH18" s="153">
        <f>IF(AH11=TRUE,AH14,0)</f>
        <v>8.1123301987747869</v>
      </c>
      <c r="AI18" s="125"/>
      <c r="AJ18" s="153">
        <f>IF(AJ11=TRUE,AJ14,0)</f>
        <v>0</v>
      </c>
      <c r="AK18" s="125"/>
      <c r="AL18" s="153">
        <f>IF(AL11=TRUE,AL14,0)</f>
        <v>0</v>
      </c>
      <c r="AM18" s="125"/>
      <c r="AN18" s="125"/>
      <c r="AO18" s="125"/>
      <c r="AP18" s="153">
        <f>IF(AP11=TRUE,AP14,0)</f>
        <v>0</v>
      </c>
      <c r="AQ18" s="125"/>
      <c r="AR18" s="153">
        <f>IF(AR11=TRUE,AR14,0)</f>
        <v>5</v>
      </c>
      <c r="AS18" s="125"/>
      <c r="AT18" s="153">
        <f>IF(AT11=TRUE,AT14,0)</f>
        <v>0</v>
      </c>
      <c r="AU18" s="125"/>
      <c r="AV18" s="153">
        <f>IF(AV11=TRUE,AV14,0)</f>
        <v>0</v>
      </c>
      <c r="AW18" s="157" t="s">
        <v>430</v>
      </c>
      <c r="AX18" s="199">
        <f>IF(AX11=TRUE,AX14,0)</f>
        <v>9.9499999999999993</v>
      </c>
      <c r="AZ18" s="199">
        <f>IF(AZ11=TRUE,AZ14,0)</f>
        <v>5</v>
      </c>
      <c r="BB18" s="199">
        <f>IF(BB11=TRUE,BB14,0)</f>
        <v>5</v>
      </c>
      <c r="BC18"/>
      <c r="BD18" s="199">
        <f>IF(BD11=TRUE,BD14,0)</f>
        <v>0</v>
      </c>
      <c r="BE18"/>
      <c r="BF18" s="199">
        <f>IF(BF11=TRUE,BF14,0)</f>
        <v>0</v>
      </c>
      <c r="BJ18" s="199">
        <f>IF(BJ11=TRUE,BJ14,0)</f>
        <v>0</v>
      </c>
      <c r="BL18" s="199">
        <f>IF(BL11=TRUE,BL14,0)</f>
        <v>10</v>
      </c>
      <c r="BO18"/>
      <c r="BP18"/>
      <c r="BQ18"/>
      <c r="BR18"/>
      <c r="BS18"/>
      <c r="BW18"/>
    </row>
    <row r="19" spans="1:79" x14ac:dyDescent="0.2">
      <c r="A19" s="27" t="s">
        <v>61</v>
      </c>
      <c r="B19" s="28" t="s">
        <v>26</v>
      </c>
      <c r="C19" s="34">
        <v>0</v>
      </c>
      <c r="F19" s="138" t="s">
        <v>345</v>
      </c>
      <c r="G19" s="719">
        <f>G14+I14</f>
        <v>10.158730158730158</v>
      </c>
      <c r="H19" s="724"/>
      <c r="I19" s="724"/>
      <c r="J19" s="726" t="s">
        <v>346</v>
      </c>
      <c r="K19" s="125"/>
      <c r="L19" s="125"/>
      <c r="M19" s="725">
        <f>M18/50</f>
        <v>0.52749999999999997</v>
      </c>
      <c r="N19" s="725"/>
      <c r="O19" s="725"/>
      <c r="P19" s="725"/>
      <c r="Q19" s="725"/>
      <c r="R19" s="725"/>
      <c r="S19" s="725"/>
      <c r="T19" s="725"/>
      <c r="U19" s="725"/>
      <c r="V19" s="144"/>
      <c r="W19" s="138" t="s">
        <v>345</v>
      </c>
      <c r="X19" s="719">
        <f>SUM(X18:AV18)</f>
        <v>21.3266159130605</v>
      </c>
      <c r="Y19" s="724"/>
      <c r="Z19" s="724"/>
      <c r="AA19" s="724"/>
      <c r="AB19" s="724"/>
      <c r="AC19" s="724"/>
      <c r="AD19" s="724"/>
      <c r="AE19" s="724"/>
      <c r="AF19" s="724"/>
      <c r="AG19" s="724"/>
      <c r="AH19" s="724"/>
      <c r="AI19" s="724"/>
      <c r="AJ19" s="724"/>
      <c r="AK19" s="724"/>
      <c r="AL19" s="724"/>
      <c r="AM19" s="724"/>
      <c r="AN19" s="724"/>
      <c r="AO19" s="724"/>
      <c r="AP19" s="724"/>
      <c r="AQ19" s="724"/>
      <c r="AR19" s="724"/>
      <c r="AS19" s="724"/>
      <c r="AT19" s="724"/>
      <c r="AU19" s="724"/>
      <c r="AV19" s="724"/>
      <c r="AW19" s="138" t="s">
        <v>345</v>
      </c>
      <c r="AX19" s="710">
        <f>SUM(AX18:BL18)</f>
        <v>29.95</v>
      </c>
      <c r="AY19" s="710"/>
      <c r="AZ19" s="710"/>
      <c r="BA19" s="710"/>
      <c r="BB19" s="710"/>
      <c r="BC19" s="710"/>
      <c r="BD19" s="710"/>
      <c r="BE19" s="710"/>
      <c r="BF19" s="710"/>
      <c r="BG19" s="710"/>
      <c r="BH19" s="710"/>
      <c r="BI19" s="710"/>
      <c r="BJ19" s="710"/>
      <c r="BK19" s="710"/>
      <c r="BL19" s="710"/>
      <c r="BM19" s="138" t="s">
        <v>345</v>
      </c>
      <c r="BN19" s="735">
        <f>SUM(BN14:BZ14)</f>
        <v>50.823717070886325</v>
      </c>
      <c r="BO19" s="735"/>
      <c r="BP19" s="735"/>
      <c r="BQ19" s="735"/>
      <c r="BR19" s="735"/>
      <c r="BS19" s="735"/>
      <c r="BT19" s="735"/>
      <c r="BU19" s="735"/>
      <c r="BV19" s="735"/>
      <c r="BW19" s="735"/>
      <c r="BX19" s="735"/>
      <c r="BY19" s="735"/>
      <c r="BZ19" s="735"/>
      <c r="CA19" s="735"/>
    </row>
    <row r="20" spans="1:79" x14ac:dyDescent="0.2">
      <c r="A20" s="24"/>
      <c r="B20" s="1" t="s">
        <v>17</v>
      </c>
      <c r="C20" s="30">
        <v>5</v>
      </c>
      <c r="F20" s="138" t="s">
        <v>431</v>
      </c>
      <c r="G20" s="718">
        <f>G19/20</f>
        <v>0.50793650793650791</v>
      </c>
      <c r="H20" s="718"/>
      <c r="I20" s="718"/>
      <c r="J20" s="727"/>
      <c r="K20" s="718">
        <f>(M18+K14)/60</f>
        <v>0.58591666666666664</v>
      </c>
      <c r="L20" s="718"/>
      <c r="M20" s="718"/>
      <c r="N20" s="718"/>
      <c r="O20" s="718"/>
      <c r="P20" s="718"/>
      <c r="Q20" s="718"/>
      <c r="R20" s="718"/>
      <c r="S20" s="718"/>
      <c r="T20" s="718"/>
      <c r="U20" s="718"/>
      <c r="V20" s="144"/>
      <c r="W20" s="138" t="s">
        <v>429</v>
      </c>
      <c r="X20" s="719">
        <f>SUM(X15:AV15)</f>
        <v>90</v>
      </c>
      <c r="Y20" s="724"/>
      <c r="Z20" s="724"/>
      <c r="AA20" s="724"/>
      <c r="AB20" s="724"/>
      <c r="AC20" s="724"/>
      <c r="AD20" s="724"/>
      <c r="AE20" s="724"/>
      <c r="AF20" s="724"/>
      <c r="AG20" s="724"/>
      <c r="AH20" s="724"/>
      <c r="AI20" s="724"/>
      <c r="AJ20" s="724"/>
      <c r="AK20" s="724"/>
      <c r="AL20" s="724"/>
      <c r="AM20" s="724"/>
      <c r="AN20" s="724"/>
      <c r="AO20" s="724"/>
      <c r="AP20" s="724"/>
      <c r="AQ20" s="724"/>
      <c r="AR20" s="724"/>
      <c r="AS20" s="724"/>
      <c r="AT20" s="724"/>
      <c r="AU20" s="724"/>
      <c r="AV20" s="724"/>
      <c r="AW20" s="138" t="s">
        <v>429</v>
      </c>
      <c r="AX20" s="710">
        <f>SUM(AX15:BL15)</f>
        <v>40</v>
      </c>
      <c r="AY20" s="710"/>
      <c r="AZ20" s="710"/>
      <c r="BA20" s="710"/>
      <c r="BB20" s="710"/>
      <c r="BC20" s="710"/>
      <c r="BD20" s="710"/>
      <c r="BE20" s="710"/>
      <c r="BF20" s="710"/>
      <c r="BG20" s="710"/>
      <c r="BH20" s="710"/>
      <c r="BI20" s="710"/>
      <c r="BJ20" s="710"/>
      <c r="BK20" s="710"/>
      <c r="BL20" s="710"/>
      <c r="BM20" s="138" t="s">
        <v>429</v>
      </c>
      <c r="BN20" s="735">
        <f>SUM(BN15:BZ15)</f>
        <v>70</v>
      </c>
      <c r="BO20" s="735"/>
      <c r="BP20" s="735"/>
      <c r="BQ20" s="735"/>
      <c r="BR20" s="735"/>
      <c r="BS20" s="735"/>
      <c r="BT20" s="735"/>
      <c r="BU20" s="735"/>
      <c r="BV20" s="735"/>
      <c r="BW20" s="735"/>
      <c r="BX20" s="735"/>
      <c r="BY20" s="735"/>
      <c r="BZ20" s="735"/>
      <c r="CA20" s="735"/>
    </row>
    <row r="21" spans="1:79" x14ac:dyDescent="0.2">
      <c r="A21" s="22"/>
      <c r="B21" s="32" t="s">
        <v>25</v>
      </c>
      <c r="C21" s="33">
        <v>10</v>
      </c>
      <c r="F21" s="121"/>
      <c r="G21" s="125"/>
      <c r="H21" s="125"/>
      <c r="I21" s="144"/>
      <c r="K21" s="125"/>
      <c r="L21" s="125"/>
      <c r="M21" s="125"/>
      <c r="N21" s="125"/>
      <c r="O21" s="125"/>
      <c r="P21" s="125"/>
      <c r="Q21" s="125"/>
      <c r="R21" s="125"/>
      <c r="S21" s="125"/>
      <c r="T21" s="125"/>
      <c r="U21" s="125"/>
      <c r="V21" s="144"/>
      <c r="W21" s="138" t="s">
        <v>431</v>
      </c>
      <c r="X21" s="718">
        <f>X19/X20</f>
        <v>0.23696239903400557</v>
      </c>
      <c r="Y21" s="718"/>
      <c r="Z21" s="718"/>
      <c r="AA21" s="718"/>
      <c r="AB21" s="718"/>
      <c r="AC21" s="718"/>
      <c r="AD21" s="718"/>
      <c r="AE21" s="718"/>
      <c r="AF21" s="718"/>
      <c r="AG21" s="718"/>
      <c r="AH21" s="718"/>
      <c r="AI21" s="718"/>
      <c r="AJ21" s="718"/>
      <c r="AK21" s="718"/>
      <c r="AL21" s="718"/>
      <c r="AM21" s="718"/>
      <c r="AN21" s="718"/>
      <c r="AO21" s="718"/>
      <c r="AP21" s="718"/>
      <c r="AQ21" s="718"/>
      <c r="AR21" s="718"/>
      <c r="AS21" s="718"/>
      <c r="AT21" s="718"/>
      <c r="AU21" s="718"/>
      <c r="AV21" s="718"/>
      <c r="AW21" s="138" t="s">
        <v>431</v>
      </c>
      <c r="AX21" s="711">
        <f>AX19/AX20</f>
        <v>0.74875000000000003</v>
      </c>
      <c r="AY21" s="711"/>
      <c r="AZ21" s="711"/>
      <c r="BA21" s="711"/>
      <c r="BB21" s="711"/>
      <c r="BC21" s="711"/>
      <c r="BD21" s="711"/>
      <c r="BE21" s="711"/>
      <c r="BF21" s="711"/>
      <c r="BG21" s="711"/>
      <c r="BH21" s="711"/>
      <c r="BI21" s="711"/>
      <c r="BJ21" s="711"/>
      <c r="BK21" s="711"/>
      <c r="BL21" s="711"/>
      <c r="BM21" s="138" t="s">
        <v>431</v>
      </c>
      <c r="BN21" s="736">
        <f>BN19/BN20</f>
        <v>0.72605310101266174</v>
      </c>
      <c r="BO21" s="736"/>
      <c r="BP21" s="736"/>
      <c r="BQ21" s="736"/>
      <c r="BR21" s="736"/>
      <c r="BS21" s="736"/>
      <c r="BT21" s="736"/>
      <c r="BU21" s="736"/>
      <c r="BV21" s="736"/>
      <c r="BW21" s="736"/>
      <c r="BX21" s="736"/>
      <c r="BY21" s="736"/>
      <c r="BZ21" s="736"/>
      <c r="CA21" s="736"/>
    </row>
    <row r="22" spans="1:79" x14ac:dyDescent="0.2">
      <c r="F22" s="121"/>
      <c r="G22" s="125"/>
      <c r="H22" s="125"/>
      <c r="I22" s="144"/>
      <c r="K22" s="125"/>
      <c r="L22" s="125"/>
      <c r="M22" s="125"/>
      <c r="N22" s="125"/>
      <c r="O22" s="125"/>
      <c r="P22" s="125"/>
      <c r="Q22" s="125"/>
      <c r="R22" s="125"/>
      <c r="S22" s="125"/>
      <c r="T22" s="125"/>
      <c r="U22" s="125"/>
      <c r="V22" s="144"/>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BB22"/>
      <c r="BC22"/>
      <c r="BD22"/>
      <c r="BE22"/>
      <c r="BF22"/>
      <c r="BO22"/>
      <c r="BP22"/>
      <c r="BQ22"/>
      <c r="BR22"/>
      <c r="BS22"/>
      <c r="BT22"/>
      <c r="BU22"/>
      <c r="BV22"/>
      <c r="BW22"/>
    </row>
    <row r="23" spans="1:79" x14ac:dyDescent="0.2">
      <c r="A23" s="27" t="s">
        <v>63</v>
      </c>
      <c r="B23" s="29" t="s">
        <v>16</v>
      </c>
      <c r="F23" s="123"/>
      <c r="G23" s="143"/>
      <c r="H23" s="143"/>
      <c r="I23" s="124"/>
      <c r="J23" s="144"/>
      <c r="K23" s="720" t="s">
        <v>14</v>
      </c>
      <c r="L23" s="721"/>
      <c r="M23" s="721"/>
      <c r="N23" s="721"/>
      <c r="O23" s="721"/>
      <c r="P23" s="721"/>
      <c r="Q23" s="721"/>
      <c r="R23" s="721"/>
      <c r="S23" s="721"/>
      <c r="T23" s="721"/>
      <c r="U23" s="721"/>
      <c r="V23" s="722"/>
      <c r="W23" s="184"/>
      <c r="X23" s="184"/>
      <c r="Y23" s="184"/>
      <c r="Z23" s="184"/>
      <c r="AA23" s="184"/>
      <c r="AB23" s="184"/>
      <c r="AC23" s="184"/>
      <c r="AD23" s="184"/>
      <c r="AE23" s="184"/>
      <c r="AF23" s="184"/>
      <c r="AG23" s="184"/>
      <c r="AH23" s="184"/>
      <c r="AI23" s="184"/>
      <c r="AJ23" s="184"/>
      <c r="AK23" s="184"/>
      <c r="AL23" s="184"/>
      <c r="AM23" s="184"/>
      <c r="AN23" s="184"/>
      <c r="AO23" s="184"/>
      <c r="AP23" s="184"/>
      <c r="AQ23" s="184"/>
      <c r="AR23" s="184"/>
      <c r="AS23" s="184"/>
      <c r="AT23" s="184"/>
      <c r="AU23" s="184"/>
      <c r="AV23" s="184"/>
      <c r="BB23"/>
      <c r="BC23"/>
      <c r="BD23"/>
      <c r="BE23"/>
      <c r="BF23"/>
      <c r="BM23" s="190" t="s">
        <v>464</v>
      </c>
      <c r="BO23"/>
      <c r="BP23"/>
      <c r="BQ23"/>
      <c r="BR23"/>
      <c r="BS23"/>
      <c r="BT23"/>
      <c r="BU23"/>
      <c r="BV23"/>
      <c r="BW23"/>
    </row>
    <row r="24" spans="1:79" x14ac:dyDescent="0.2">
      <c r="A24" s="22"/>
      <c r="B24" s="23" t="s">
        <v>64</v>
      </c>
      <c r="J24" s="144"/>
      <c r="K24" s="125"/>
      <c r="L24" s="125"/>
      <c r="M24" s="704" t="s">
        <v>53</v>
      </c>
      <c r="N24" s="704"/>
      <c r="O24" s="704" t="s">
        <v>54</v>
      </c>
      <c r="P24" s="704"/>
      <c r="Q24" s="704" t="s">
        <v>55</v>
      </c>
      <c r="R24" s="704"/>
      <c r="S24" s="704" t="s">
        <v>56</v>
      </c>
      <c r="T24" s="704"/>
      <c r="U24" s="704" t="s">
        <v>57</v>
      </c>
      <c r="V24" s="704"/>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BB24"/>
      <c r="BC24"/>
      <c r="BD24"/>
      <c r="BE24"/>
      <c r="BF24"/>
      <c r="BO24"/>
      <c r="BP24"/>
      <c r="BQ24"/>
      <c r="BR24"/>
      <c r="BS24"/>
      <c r="BT24"/>
      <c r="BU24"/>
      <c r="BV24"/>
      <c r="BW24"/>
    </row>
    <row r="25" spans="1:79" x14ac:dyDescent="0.2">
      <c r="J25" s="144"/>
      <c r="K25" s="142"/>
      <c r="L25" s="142"/>
      <c r="M25" s="142"/>
      <c r="N25" s="142"/>
      <c r="O25" s="142"/>
      <c r="P25" s="142"/>
      <c r="Q25" s="142"/>
      <c r="R25" s="142"/>
      <c r="S25" s="142"/>
      <c r="T25" s="142"/>
      <c r="U25" s="142"/>
      <c r="V25" s="145"/>
      <c r="W25" s="142"/>
      <c r="X25" s="142"/>
      <c r="Y25" s="142"/>
      <c r="Z25" s="142"/>
      <c r="AA25" s="142"/>
      <c r="AB25" s="142"/>
      <c r="AC25" s="142"/>
      <c r="AD25" s="142"/>
      <c r="AE25" s="142"/>
      <c r="AF25" s="142"/>
      <c r="AG25" s="142"/>
      <c r="AH25" s="142"/>
      <c r="AI25" s="142"/>
      <c r="AJ25" s="142"/>
      <c r="AK25" s="142"/>
      <c r="AL25" s="142"/>
      <c r="AM25" s="142"/>
      <c r="AN25" s="142"/>
      <c r="AO25" s="142"/>
      <c r="AP25" s="142"/>
      <c r="AQ25" s="142"/>
      <c r="AR25" s="142"/>
      <c r="AS25" s="142"/>
      <c r="AT25" s="142"/>
      <c r="AU25" s="142"/>
      <c r="AV25" s="142"/>
      <c r="BB25"/>
      <c r="BC25"/>
      <c r="BD25"/>
      <c r="BE25"/>
      <c r="BF25"/>
      <c r="BO25"/>
      <c r="BP25"/>
      <c r="BQ25"/>
      <c r="BR25"/>
      <c r="BS25"/>
      <c r="BT25"/>
      <c r="BU25"/>
      <c r="BV25"/>
      <c r="BW25"/>
    </row>
    <row r="26" spans="1:79" x14ac:dyDescent="0.2">
      <c r="J26" s="138" t="s">
        <v>14</v>
      </c>
      <c r="K26" s="125"/>
      <c r="L26" s="125"/>
      <c r="M26" s="148">
        <f>Eingabe!I22</f>
        <v>12.814366666666666</v>
      </c>
      <c r="N26" s="125"/>
      <c r="O26" s="148">
        <f>Eingabe!J22</f>
        <v>1</v>
      </c>
      <c r="P26" s="125"/>
      <c r="Q26" s="148">
        <f>Eingabe!K22</f>
        <v>10.509977777777777</v>
      </c>
      <c r="R26" s="125"/>
      <c r="S26" s="148">
        <f>Eingabe!L22</f>
        <v>3.8712777777777778</v>
      </c>
      <c r="T26" s="125"/>
      <c r="U26" s="148">
        <f>Eingabe!M22</f>
        <v>1</v>
      </c>
      <c r="V26" s="144"/>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BB26"/>
      <c r="BC26"/>
      <c r="BD26"/>
      <c r="BE26"/>
      <c r="BF26"/>
      <c r="BO26"/>
      <c r="BP26"/>
      <c r="BQ26"/>
      <c r="BR26"/>
      <c r="BS26"/>
      <c r="BT26"/>
      <c r="BU26"/>
      <c r="BV26"/>
      <c r="BW26"/>
    </row>
    <row r="27" spans="1:79" x14ac:dyDescent="0.2">
      <c r="A27" s="27"/>
      <c r="B27" s="28"/>
      <c r="C27" s="29" t="s">
        <v>65</v>
      </c>
      <c r="J27" s="138" t="s">
        <v>345</v>
      </c>
      <c r="K27" s="125"/>
      <c r="L27" s="125"/>
      <c r="M27" s="723">
        <f>M26+O26+Q26+S26+U26</f>
        <v>29.195622222222219</v>
      </c>
      <c r="N27" s="714"/>
      <c r="O27" s="714"/>
      <c r="P27" s="714"/>
      <c r="Q27" s="714"/>
      <c r="R27" s="714"/>
      <c r="S27" s="714"/>
      <c r="T27" s="714"/>
      <c r="U27" s="714"/>
      <c r="V27" s="144"/>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BB27"/>
      <c r="BC27"/>
      <c r="BD27"/>
      <c r="BE27"/>
      <c r="BF27"/>
      <c r="BO27"/>
      <c r="BP27"/>
      <c r="BQ27"/>
      <c r="BR27"/>
      <c r="BS27"/>
      <c r="BT27"/>
      <c r="BU27"/>
      <c r="BV27"/>
      <c r="BW27"/>
    </row>
    <row r="28" spans="1:79" x14ac:dyDescent="0.2">
      <c r="A28" s="24" t="s">
        <v>66</v>
      </c>
      <c r="B28" s="1" t="s">
        <v>67</v>
      </c>
      <c r="C28" s="30">
        <v>4</v>
      </c>
      <c r="J28" s="138" t="s">
        <v>348</v>
      </c>
      <c r="K28" s="125"/>
      <c r="L28" s="125"/>
      <c r="M28" s="139">
        <f>M26*10</f>
        <v>128.14366666666666</v>
      </c>
      <c r="N28" s="125"/>
      <c r="O28" s="139">
        <f>O26*10</f>
        <v>10</v>
      </c>
      <c r="P28" s="125"/>
      <c r="Q28" s="139">
        <f>Q26*10</f>
        <v>105.09977777777777</v>
      </c>
      <c r="R28" s="125"/>
      <c r="S28" s="139">
        <f>S26*10</f>
        <v>38.712777777777781</v>
      </c>
      <c r="T28" s="125"/>
      <c r="U28" s="139">
        <f>U26*10</f>
        <v>10</v>
      </c>
      <c r="V28" s="144"/>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BO28"/>
      <c r="BP28"/>
      <c r="BQ28"/>
      <c r="BR28"/>
      <c r="BS28"/>
      <c r="BT28"/>
      <c r="BU28"/>
      <c r="BV28"/>
      <c r="BW28"/>
    </row>
    <row r="29" spans="1:79" x14ac:dyDescent="0.2">
      <c r="A29" s="24"/>
      <c r="B29" s="1" t="s">
        <v>17</v>
      </c>
      <c r="C29" s="30">
        <v>3</v>
      </c>
      <c r="J29" s="138" t="s">
        <v>345</v>
      </c>
      <c r="K29" s="125"/>
      <c r="L29" s="125"/>
      <c r="M29" s="713">
        <f>M28+O28+Q28+S28+U28</f>
        <v>291.95622222222221</v>
      </c>
      <c r="N29" s="714"/>
      <c r="O29" s="714"/>
      <c r="P29" s="714"/>
      <c r="Q29" s="714"/>
      <c r="R29" s="714"/>
      <c r="S29" s="714"/>
      <c r="T29" s="714"/>
      <c r="U29" s="714"/>
      <c r="V29" s="144"/>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BO29"/>
      <c r="BP29"/>
      <c r="BQ29"/>
      <c r="BR29"/>
      <c r="BS29"/>
      <c r="BT29"/>
      <c r="BU29"/>
      <c r="BV29"/>
      <c r="BW29"/>
    </row>
    <row r="30" spans="1:79" x14ac:dyDescent="0.2">
      <c r="A30" s="24"/>
      <c r="B30" s="1" t="s">
        <v>68</v>
      </c>
      <c r="C30" s="30">
        <v>2</v>
      </c>
      <c r="J30" s="138" t="s">
        <v>349</v>
      </c>
      <c r="K30" s="125"/>
      <c r="L30" s="125"/>
      <c r="M30" s="165">
        <f>M28/$M$29</f>
        <v>0.43891397720967301</v>
      </c>
      <c r="N30" s="166"/>
      <c r="O30" s="165">
        <f>O28/$M$29</f>
        <v>3.4251710492364536E-2</v>
      </c>
      <c r="P30" s="166"/>
      <c r="Q30" s="165">
        <f>Q28/$M$29</f>
        <v>0.35998471612562921</v>
      </c>
      <c r="R30" s="166"/>
      <c r="S30" s="165">
        <f>S28/$M$29</f>
        <v>0.13259788567996877</v>
      </c>
      <c r="T30" s="166"/>
      <c r="U30" s="165">
        <f>U28/$M$29</f>
        <v>3.4251710492364536E-2</v>
      </c>
      <c r="V30" s="144"/>
      <c r="W30" s="125"/>
      <c r="X30" s="125"/>
      <c r="Y30" s="125"/>
      <c r="Z30" s="125"/>
      <c r="AA30" s="125"/>
      <c r="AB30" s="125"/>
      <c r="AC30" s="125"/>
      <c r="AD30" s="125"/>
      <c r="AE30" s="125"/>
      <c r="AF30" s="125"/>
      <c r="AG30" s="125"/>
      <c r="AK30" s="125"/>
      <c r="AL30" s="125"/>
      <c r="AM30" s="125"/>
      <c r="AN30" s="125"/>
      <c r="AO30" s="125"/>
      <c r="AP30" s="125"/>
      <c r="AQ30" s="125"/>
      <c r="AR30" s="125"/>
      <c r="AS30" s="125"/>
      <c r="AT30" s="125"/>
      <c r="AU30" s="125"/>
      <c r="AV30" s="125"/>
    </row>
    <row r="31" spans="1:79" x14ac:dyDescent="0.2">
      <c r="A31" s="22"/>
      <c r="B31" s="32" t="s">
        <v>4</v>
      </c>
      <c r="C31" s="33">
        <v>1</v>
      </c>
      <c r="J31" s="138" t="s">
        <v>347</v>
      </c>
      <c r="K31" s="125"/>
      <c r="L31" s="125"/>
      <c r="M31" s="223">
        <f>M30*M14</f>
        <v>0</v>
      </c>
      <c r="N31" s="125"/>
      <c r="O31" s="223">
        <f>O30*O14</f>
        <v>0.13700684196945814</v>
      </c>
      <c r="P31" s="125"/>
      <c r="Q31" s="223">
        <f>Q30*Q14</f>
        <v>1.0799541483768875</v>
      </c>
      <c r="R31" s="125"/>
      <c r="S31" s="223">
        <f>S30*S14</f>
        <v>1.2596799139597032</v>
      </c>
      <c r="T31" s="125"/>
      <c r="U31" s="223">
        <f>U30*U14</f>
        <v>0.33823564111209981</v>
      </c>
      <c r="V31" s="144"/>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row>
    <row r="32" spans="1:79" x14ac:dyDescent="0.2">
      <c r="J32" s="138" t="s">
        <v>345</v>
      </c>
      <c r="K32" s="719">
        <f>SUM(M31:U31)*5+K14</f>
        <v>22.854382727090744</v>
      </c>
      <c r="L32" s="719"/>
      <c r="M32" s="719"/>
      <c r="N32" s="719"/>
      <c r="O32" s="719"/>
      <c r="P32" s="719"/>
      <c r="Q32" s="719"/>
      <c r="R32" s="719"/>
      <c r="S32" s="719"/>
      <c r="T32" s="719"/>
      <c r="U32" s="719"/>
      <c r="V32" s="144"/>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row>
    <row r="33" spans="1:79" x14ac:dyDescent="0.2">
      <c r="A33" s="27" t="s">
        <v>69</v>
      </c>
      <c r="B33" s="29" t="s">
        <v>18</v>
      </c>
      <c r="J33" s="716" t="s">
        <v>346</v>
      </c>
      <c r="K33" s="125"/>
      <c r="L33" s="125"/>
      <c r="M33" s="715">
        <f>K32/50</f>
        <v>0.45708765454181488</v>
      </c>
      <c r="N33" s="715"/>
      <c r="O33" s="715"/>
      <c r="P33" s="715"/>
      <c r="Q33" s="715"/>
      <c r="R33" s="715"/>
      <c r="S33" s="715"/>
      <c r="T33" s="715"/>
      <c r="U33" s="715"/>
      <c r="V33" s="144"/>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row>
    <row r="34" spans="1:79" x14ac:dyDescent="0.2">
      <c r="A34" s="22"/>
      <c r="B34" s="23" t="s">
        <v>70</v>
      </c>
      <c r="J34" s="716"/>
      <c r="K34" s="717">
        <f>(K32)/60</f>
        <v>0.38090637878484573</v>
      </c>
      <c r="L34" s="718"/>
      <c r="M34" s="718"/>
      <c r="N34" s="718"/>
      <c r="O34" s="718"/>
      <c r="P34" s="718"/>
      <c r="Q34" s="718"/>
      <c r="R34" s="718"/>
      <c r="S34" s="718"/>
      <c r="T34" s="718"/>
      <c r="U34" s="718"/>
      <c r="V34" s="167"/>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row>
    <row r="35" spans="1:79" x14ac:dyDescent="0.2">
      <c r="AX35"/>
      <c r="AY35"/>
      <c r="AZ35"/>
      <c r="BA35"/>
      <c r="BB35"/>
      <c r="BC35"/>
      <c r="BD35"/>
      <c r="BE35"/>
      <c r="BF35"/>
    </row>
    <row r="36" spans="1:79" x14ac:dyDescent="0.2">
      <c r="A36" s="1" t="s">
        <v>211</v>
      </c>
      <c r="B36" s="1" t="s">
        <v>213</v>
      </c>
      <c r="AX36"/>
      <c r="AY36"/>
      <c r="AZ36"/>
      <c r="BA36"/>
      <c r="BB36"/>
      <c r="BC36"/>
      <c r="BD36"/>
      <c r="BE36"/>
      <c r="BF36"/>
    </row>
    <row r="37" spans="1:79" x14ac:dyDescent="0.2">
      <c r="B37" s="1" t="s">
        <v>212</v>
      </c>
      <c r="F37" s="701" t="s">
        <v>485</v>
      </c>
      <c r="G37" s="701"/>
      <c r="H37" s="701"/>
      <c r="I37" s="701"/>
      <c r="J37" s="701"/>
      <c r="K37" s="701"/>
      <c r="L37" s="701"/>
      <c r="M37" s="701"/>
      <c r="N37" s="701"/>
      <c r="O37" s="701"/>
      <c r="P37" s="701"/>
      <c r="Q37" s="701"/>
      <c r="R37" s="701"/>
      <c r="S37" s="701"/>
      <c r="T37" s="701"/>
      <c r="U37" s="701"/>
      <c r="V37" s="701"/>
      <c r="W37" s="701"/>
      <c r="X37" s="701"/>
      <c r="Y37" s="701"/>
      <c r="Z37" s="701"/>
      <c r="AA37" s="701"/>
      <c r="AB37" s="701"/>
      <c r="AC37" s="701"/>
      <c r="AD37" s="701"/>
      <c r="AE37" s="701"/>
      <c r="AF37" s="701"/>
      <c r="AG37" s="701"/>
      <c r="AH37" s="701"/>
      <c r="AI37" s="701"/>
      <c r="AJ37" s="701"/>
      <c r="AK37" s="701"/>
      <c r="AL37" s="701"/>
      <c r="AM37" s="701"/>
      <c r="AN37" s="701"/>
      <c r="AO37" s="701"/>
      <c r="AP37" s="701"/>
      <c r="AQ37" s="701"/>
      <c r="AR37" s="701"/>
      <c r="AS37" s="701"/>
      <c r="AT37" s="701"/>
      <c r="AU37" s="701"/>
      <c r="AV37" s="701"/>
      <c r="AW37" s="701"/>
      <c r="AX37" s="701"/>
      <c r="AY37" s="701"/>
      <c r="AZ37" s="701"/>
      <c r="BA37" s="701"/>
      <c r="BB37" s="701"/>
      <c r="BC37" s="701"/>
      <c r="BD37" s="701"/>
      <c r="BE37" s="701"/>
      <c r="BF37" s="701"/>
      <c r="BG37" s="701"/>
      <c r="BH37" s="701"/>
      <c r="BI37" s="701"/>
      <c r="BJ37" s="701"/>
      <c r="BK37" s="701"/>
      <c r="BL37" s="701"/>
      <c r="BM37" s="701"/>
      <c r="BN37" s="701"/>
      <c r="BO37" s="701"/>
      <c r="BP37" s="701"/>
      <c r="BQ37" s="701"/>
      <c r="BR37" s="701"/>
      <c r="BS37" s="701"/>
      <c r="BT37" s="701"/>
      <c r="BU37" s="701"/>
      <c r="BV37" s="701"/>
      <c r="BW37" s="701"/>
      <c r="BX37" s="701"/>
      <c r="BY37" s="701"/>
      <c r="BZ37" s="701"/>
      <c r="CA37" s="701"/>
    </row>
    <row r="38" spans="1:79" x14ac:dyDescent="0.2">
      <c r="B38" s="1" t="s">
        <v>214</v>
      </c>
      <c r="F38" s="701"/>
      <c r="G38" s="701"/>
      <c r="H38" s="701"/>
      <c r="I38" s="701"/>
      <c r="J38" s="701"/>
      <c r="K38" s="701"/>
      <c r="L38" s="701"/>
      <c r="M38" s="701"/>
      <c r="N38" s="701"/>
      <c r="O38" s="701"/>
      <c r="P38" s="701"/>
      <c r="Q38" s="701"/>
      <c r="R38" s="701"/>
      <c r="S38" s="701"/>
      <c r="T38" s="701"/>
      <c r="U38" s="701"/>
      <c r="V38" s="701"/>
      <c r="W38" s="701"/>
      <c r="X38" s="701"/>
      <c r="Y38" s="701"/>
      <c r="Z38" s="701"/>
      <c r="AA38" s="701"/>
      <c r="AB38" s="701"/>
      <c r="AC38" s="701"/>
      <c r="AD38" s="701"/>
      <c r="AE38" s="701"/>
      <c r="AF38" s="701"/>
      <c r="AG38" s="701"/>
      <c r="AH38" s="701"/>
      <c r="AI38" s="701"/>
      <c r="AJ38" s="701"/>
      <c r="AK38" s="701"/>
      <c r="AL38" s="701"/>
      <c r="AM38" s="701"/>
      <c r="AN38" s="701"/>
      <c r="AO38" s="701"/>
      <c r="AP38" s="701"/>
      <c r="AQ38" s="701"/>
      <c r="AR38" s="701"/>
      <c r="AS38" s="701"/>
      <c r="AT38" s="701"/>
      <c r="AU38" s="701"/>
      <c r="AV38" s="701"/>
      <c r="AW38" s="701"/>
      <c r="AX38" s="701"/>
      <c r="AY38" s="701"/>
      <c r="AZ38" s="701"/>
      <c r="BA38" s="701"/>
      <c r="BB38" s="701"/>
      <c r="BC38" s="701"/>
      <c r="BD38" s="701"/>
      <c r="BE38" s="701"/>
      <c r="BF38" s="701"/>
      <c r="BG38" s="701"/>
      <c r="BH38" s="701"/>
      <c r="BI38" s="701"/>
      <c r="BJ38" s="701"/>
      <c r="BK38" s="701"/>
      <c r="BL38" s="701"/>
      <c r="BM38" s="701"/>
      <c r="BN38" s="701"/>
      <c r="BO38" s="701"/>
      <c r="BP38" s="701"/>
      <c r="BQ38" s="701"/>
      <c r="BR38" s="701"/>
      <c r="BS38" s="701"/>
      <c r="BT38" s="701"/>
      <c r="BU38" s="701"/>
      <c r="BV38" s="701"/>
      <c r="BW38" s="701"/>
      <c r="BX38" s="701"/>
      <c r="BY38" s="701"/>
      <c r="BZ38" s="701"/>
      <c r="CA38" s="701"/>
    </row>
    <row r="39" spans="1:79" x14ac:dyDescent="0.2">
      <c r="E39" s="1" t="s">
        <v>473</v>
      </c>
      <c r="G39" s="155" t="s">
        <v>98</v>
      </c>
      <c r="H39" s="702" t="s">
        <v>6</v>
      </c>
      <c r="I39" s="702"/>
      <c r="J39" s="141"/>
      <c r="K39" s="703" t="s">
        <v>8</v>
      </c>
      <c r="L39" s="703"/>
      <c r="M39" s="704" t="s">
        <v>53</v>
      </c>
      <c r="N39" s="704"/>
      <c r="O39" s="704" t="s">
        <v>54</v>
      </c>
      <c r="P39" s="704"/>
      <c r="Q39" s="704" t="s">
        <v>55</v>
      </c>
      <c r="R39" s="704"/>
      <c r="S39" s="704" t="s">
        <v>56</v>
      </c>
      <c r="T39" s="704"/>
      <c r="U39" s="704" t="s">
        <v>57</v>
      </c>
      <c r="V39" s="704"/>
      <c r="W39" s="233"/>
      <c r="X39" s="705" t="s">
        <v>104</v>
      </c>
      <c r="Y39" s="705"/>
      <c r="Z39" s="705" t="s">
        <v>410</v>
      </c>
      <c r="AA39" s="705"/>
      <c r="AB39" s="705" t="s">
        <v>103</v>
      </c>
      <c r="AC39" s="705"/>
      <c r="AD39" s="705" t="s">
        <v>412</v>
      </c>
      <c r="AE39" s="705"/>
      <c r="AF39" s="705" t="s">
        <v>413</v>
      </c>
      <c r="AG39" s="705"/>
      <c r="AH39" s="706" t="s">
        <v>479</v>
      </c>
      <c r="AI39" s="707"/>
      <c r="AJ39" s="708" t="s">
        <v>480</v>
      </c>
      <c r="AK39" s="709"/>
      <c r="AL39" s="706" t="s">
        <v>481</v>
      </c>
      <c r="AM39" s="707"/>
      <c r="AN39" s="234"/>
      <c r="AO39" s="699" t="s">
        <v>417</v>
      </c>
      <c r="AP39" s="700"/>
      <c r="AQ39" s="699" t="s">
        <v>426</v>
      </c>
      <c r="AR39" s="700"/>
      <c r="AS39" s="699" t="s">
        <v>425</v>
      </c>
      <c r="AT39" s="700"/>
      <c r="AU39" s="699" t="s">
        <v>424</v>
      </c>
      <c r="AV39" s="700"/>
      <c r="AW39" s="201"/>
      <c r="AX39" s="697" t="s">
        <v>436</v>
      </c>
      <c r="AY39" s="697"/>
      <c r="AZ39" s="697" t="s">
        <v>23</v>
      </c>
      <c r="BA39" s="697"/>
      <c r="BB39" s="698" t="s">
        <v>24</v>
      </c>
      <c r="BC39" s="698"/>
      <c r="BD39" s="698" t="s">
        <v>22</v>
      </c>
      <c r="BE39" s="698"/>
      <c r="BF39" s="698" t="s">
        <v>437</v>
      </c>
      <c r="BG39" s="698"/>
      <c r="BH39" s="232"/>
      <c r="BI39" s="697" t="s">
        <v>435</v>
      </c>
      <c r="BJ39" s="697"/>
      <c r="BK39" s="697" t="s">
        <v>416</v>
      </c>
      <c r="BL39" s="697"/>
      <c r="BN39" s="594" t="s">
        <v>6</v>
      </c>
      <c r="BO39" s="594"/>
      <c r="BP39" s="594" t="s">
        <v>7</v>
      </c>
      <c r="BQ39" s="594"/>
      <c r="BR39" s="594" t="s">
        <v>440</v>
      </c>
      <c r="BS39" s="594"/>
      <c r="BT39" s="594" t="s">
        <v>470</v>
      </c>
      <c r="BU39" s="594"/>
      <c r="BV39" s="594" t="s">
        <v>469</v>
      </c>
      <c r="BW39" s="594"/>
      <c r="BX39" s="594" t="s">
        <v>444</v>
      </c>
      <c r="BY39" s="594"/>
      <c r="BZ39" s="594" t="s">
        <v>448</v>
      </c>
      <c r="CA39" s="594"/>
    </row>
    <row r="40" spans="1:79" x14ac:dyDescent="0.2">
      <c r="A40" s="1" t="s">
        <v>450</v>
      </c>
      <c r="B40" s="1" t="s">
        <v>451</v>
      </c>
      <c r="C40" s="1">
        <v>0.16700000000000001</v>
      </c>
      <c r="D40" t="s">
        <v>463</v>
      </c>
      <c r="E40" s="1">
        <v>0.20100000000000001</v>
      </c>
      <c r="G40" s="238">
        <f>SUM('Strömung-Temp-Fouling'!J35:K35)</f>
        <v>0</v>
      </c>
      <c r="H40" s="238">
        <f>SUM('Strömung-Temp-Fouling'!J36:K36)</f>
        <v>0</v>
      </c>
      <c r="I40" s="1" t="s">
        <v>494</v>
      </c>
      <c r="K40" t="s">
        <v>486</v>
      </c>
      <c r="L40" s="235">
        <v>0.01</v>
      </c>
      <c r="M40"/>
      <c r="N40" s="83">
        <v>0.08</v>
      </c>
      <c r="O40" s="231"/>
      <c r="P40" s="83">
        <v>0.08</v>
      </c>
      <c r="Q40" s="231"/>
      <c r="R40" s="83">
        <v>0.08</v>
      </c>
      <c r="S40" s="231"/>
      <c r="T40" s="83">
        <v>0.08</v>
      </c>
      <c r="U40" s="231"/>
      <c r="V40" s="83">
        <v>0.08</v>
      </c>
      <c r="X40" s="231"/>
      <c r="Y40" s="83">
        <v>0.08</v>
      </c>
      <c r="Z40" s="231"/>
      <c r="AA40" s="83">
        <v>0.08</v>
      </c>
      <c r="AB40" s="231"/>
      <c r="AC40" s="83">
        <v>0.08</v>
      </c>
      <c r="AD40" s="231"/>
      <c r="AE40" s="83">
        <v>0.08</v>
      </c>
      <c r="AF40" s="231"/>
      <c r="AG40" s="83">
        <v>0.08</v>
      </c>
      <c r="AH40" s="1" t="s">
        <v>489</v>
      </c>
      <c r="AI40" s="1">
        <v>1</v>
      </c>
      <c r="AJ40" s="231"/>
      <c r="AK40" s="83">
        <v>5.0000000000000001E-3</v>
      </c>
      <c r="AL40" s="231"/>
      <c r="AM40" s="83">
        <v>0.08</v>
      </c>
      <c r="AP40" s="1">
        <v>2.5</v>
      </c>
      <c r="AR40" s="1">
        <v>2.5</v>
      </c>
      <c r="AT40" s="1">
        <v>2.5</v>
      </c>
      <c r="AV40" s="1">
        <v>2.5</v>
      </c>
      <c r="AX40" s="231"/>
      <c r="AY40" s="83">
        <v>0.08</v>
      </c>
      <c r="AZ40" s="231"/>
      <c r="BA40" s="83">
        <v>0.08</v>
      </c>
      <c r="BB40" s="231"/>
      <c r="BC40" s="83">
        <v>0.08</v>
      </c>
      <c r="BD40" s="231"/>
      <c r="BE40" s="83">
        <v>0.08</v>
      </c>
      <c r="BF40" s="231"/>
      <c r="BG40" s="83">
        <v>0.08</v>
      </c>
      <c r="BJ40" s="1">
        <v>2.5</v>
      </c>
      <c r="BL40" s="1">
        <v>2.5</v>
      </c>
      <c r="BO40" s="1">
        <v>0.5</v>
      </c>
      <c r="BP40" s="231"/>
      <c r="BQ40" s="83">
        <v>1.4999999999999999E-2</v>
      </c>
      <c r="BR40" s="241"/>
      <c r="BS40" s="83">
        <v>0.1</v>
      </c>
      <c r="BT40" s="241"/>
      <c r="BU40" s="315">
        <v>3.5000000000000003E-2</v>
      </c>
      <c r="BV40" s="241"/>
      <c r="BW40" s="315">
        <v>3.5000000000000003E-2</v>
      </c>
      <c r="BX40" s="241"/>
      <c r="BY40" s="83">
        <v>0.1</v>
      </c>
      <c r="BZ40" s="231"/>
      <c r="CA40" s="83">
        <v>0.1</v>
      </c>
    </row>
    <row r="41" spans="1:79" x14ac:dyDescent="0.2">
      <c r="B41" s="1" t="s">
        <v>452</v>
      </c>
      <c r="C41" s="1">
        <v>0.1631379</v>
      </c>
      <c r="D41" t="s">
        <v>462</v>
      </c>
      <c r="E41" s="1">
        <v>0.26600000000000001</v>
      </c>
      <c r="G41" s="237">
        <v>0.1</v>
      </c>
      <c r="H41" s="231" t="s">
        <v>40</v>
      </c>
      <c r="I41" s="236"/>
      <c r="K41" s="236">
        <f>K8+L40</f>
        <v>7.62</v>
      </c>
      <c r="M41" s="237">
        <f>1+N40</f>
        <v>1.08</v>
      </c>
      <c r="N41" s="1">
        <f>M8*M41</f>
        <v>745.2</v>
      </c>
      <c r="O41" s="237">
        <f>1+P40</f>
        <v>1.08</v>
      </c>
      <c r="P41" s="1">
        <f>O8*O41</f>
        <v>12.96</v>
      </c>
      <c r="Q41" s="237">
        <f>1+R40</f>
        <v>1.08</v>
      </c>
      <c r="R41" s="1">
        <f>Q8*Q41</f>
        <v>75.600000000000009</v>
      </c>
      <c r="S41" s="237">
        <f>1+T40</f>
        <v>1.08</v>
      </c>
      <c r="T41" s="1">
        <f>S8*S41</f>
        <v>21.6</v>
      </c>
      <c r="U41" s="237">
        <f>1+V40</f>
        <v>1.08</v>
      </c>
      <c r="V41" s="1">
        <f>U8*U41</f>
        <v>108</v>
      </c>
      <c r="X41" s="237">
        <f>1+Y40</f>
        <v>1.08</v>
      </c>
      <c r="Y41" s="1">
        <f>X8*X41</f>
        <v>2.7</v>
      </c>
      <c r="Z41" s="237">
        <f>1+AA40</f>
        <v>1.08</v>
      </c>
      <c r="AA41" s="1">
        <f>Z8*Z41</f>
        <v>0</v>
      </c>
      <c r="AB41" s="237">
        <f>1+AC40</f>
        <v>1.08</v>
      </c>
      <c r="AC41" s="1">
        <f>AB8*AB41</f>
        <v>604.80000000000007</v>
      </c>
      <c r="AD41" s="237">
        <f>1+AE40</f>
        <v>1.08</v>
      </c>
      <c r="AE41" s="1">
        <f>AD8*AD41</f>
        <v>0</v>
      </c>
      <c r="AF41" s="237">
        <f>1+AG40</f>
        <v>1.08</v>
      </c>
      <c r="AG41" s="1">
        <f>AF8*AF41</f>
        <v>0</v>
      </c>
      <c r="AI41" s="1">
        <f>AH8+AI40</f>
        <v>114.26018807351281</v>
      </c>
      <c r="AJ41" s="237">
        <f>1+AK40</f>
        <v>1.0049999999999999</v>
      </c>
      <c r="AK41" s="1">
        <f>AJ8*AJ41</f>
        <v>12.059999999999999</v>
      </c>
      <c r="AL41" s="237">
        <f>1+AM40</f>
        <v>1.08</v>
      </c>
      <c r="AM41" s="1">
        <f>AL8*AL41</f>
        <v>0.74519999999999997</v>
      </c>
      <c r="AP41" s="236">
        <f>IF((AP14+AP40)&gt;10,10,(AP14+AP40))</f>
        <v>2.5</v>
      </c>
      <c r="AR41" s="236">
        <f>IF((AR14+AR40)&gt;10,10,(AR14+AR40))</f>
        <v>7.5</v>
      </c>
      <c r="AT41" s="236">
        <f>IF((AT14+AT40)&gt;10,10,(AT14+AT40))</f>
        <v>2.5</v>
      </c>
      <c r="AV41" s="236">
        <f>IF((AV14+AV40)&gt;10,10,(AV14+AV40))</f>
        <v>2.5</v>
      </c>
      <c r="AX41" s="237">
        <f>1+AY40</f>
        <v>1.08</v>
      </c>
      <c r="AY41" s="1">
        <f>AX8*AX41</f>
        <v>0.10800000000000001</v>
      </c>
      <c r="AZ41" s="237">
        <f>1+BA40</f>
        <v>1.08</v>
      </c>
      <c r="BA41" s="1">
        <f>AZ8*AZ41</f>
        <v>3.24</v>
      </c>
      <c r="BB41" s="237">
        <f>1+BC40</f>
        <v>1.08</v>
      </c>
      <c r="BC41" s="1">
        <f>BB8*BB41</f>
        <v>10.8</v>
      </c>
      <c r="BD41" s="237">
        <f>1+BE40</f>
        <v>1.08</v>
      </c>
      <c r="BE41" s="1">
        <f>BD8*BD41</f>
        <v>0</v>
      </c>
      <c r="BF41" s="237">
        <f>1+BG40</f>
        <v>1.08</v>
      </c>
      <c r="BG41" s="1">
        <f>BF8*BF41</f>
        <v>0</v>
      </c>
      <c r="BJ41" s="236" t="e">
        <f>IF((BJ14+BJ40)&gt;10,10,(BJ14+BJ40))</f>
        <v>#VALUE!</v>
      </c>
      <c r="BL41" s="236">
        <f>IF((BL14+BL40)&gt;10,10,(BL14+BL40))</f>
        <v>10</v>
      </c>
      <c r="BO41" s="236">
        <f>BN8+BO40</f>
        <v>12.7</v>
      </c>
      <c r="BP41" s="237">
        <f>1+BQ40</f>
        <v>1.0149999999999999</v>
      </c>
      <c r="BQ41" s="1">
        <f>BP8*BP41</f>
        <v>304.49999999999994</v>
      </c>
      <c r="BR41" s="237">
        <f>1+BS40</f>
        <v>1.1000000000000001</v>
      </c>
      <c r="BS41" s="1">
        <f>BR8*BR41</f>
        <v>0</v>
      </c>
      <c r="BT41" s="237">
        <f>1+BU40</f>
        <v>1.0349999999999999</v>
      </c>
      <c r="BU41" s="1">
        <f>BT8*BT41</f>
        <v>2233.8806924999999</v>
      </c>
      <c r="BV41" s="237">
        <f>1+BW40</f>
        <v>1.0349999999999999</v>
      </c>
      <c r="BW41" s="1">
        <f>BV8*BV41</f>
        <v>1801.5166874999995</v>
      </c>
      <c r="BX41" s="237">
        <f>1+BY40</f>
        <v>1.1000000000000001</v>
      </c>
      <c r="BY41" s="1">
        <f>BX8*BX41</f>
        <v>3300.0000000000005</v>
      </c>
      <c r="BZ41" s="237">
        <f>1+CA40</f>
        <v>1.1000000000000001</v>
      </c>
      <c r="CA41" s="1">
        <f>BZ8*BZ41</f>
        <v>0</v>
      </c>
    </row>
    <row r="42" spans="1:79" x14ac:dyDescent="0.2">
      <c r="B42" s="1" t="s">
        <v>453</v>
      </c>
      <c r="C42" s="1">
        <v>0.1065077</v>
      </c>
      <c r="D42" t="s">
        <v>461</v>
      </c>
      <c r="E42" s="1">
        <v>0.28000000000000003</v>
      </c>
      <c r="G42" s="236"/>
      <c r="H42" s="237"/>
      <c r="I42" s="236"/>
      <c r="K42" s="236">
        <f>K8-L40</f>
        <v>7.6000000000000005</v>
      </c>
      <c r="M42" s="237">
        <f>1-N40</f>
        <v>0.92</v>
      </c>
      <c r="N42" s="1">
        <f>M8*M42</f>
        <v>634.80000000000007</v>
      </c>
      <c r="O42" s="237">
        <f>1-P40</f>
        <v>0.92</v>
      </c>
      <c r="P42" s="1">
        <f>O8*O42</f>
        <v>11.040000000000001</v>
      </c>
      <c r="Q42" s="237">
        <f>1-R40</f>
        <v>0.92</v>
      </c>
      <c r="R42" s="1">
        <f>Q8*Q42</f>
        <v>64.400000000000006</v>
      </c>
      <c r="S42" s="237">
        <f>1-T40</f>
        <v>0.92</v>
      </c>
      <c r="T42" s="1">
        <f>S8*S42</f>
        <v>18.400000000000002</v>
      </c>
      <c r="U42" s="237">
        <f>1-V40</f>
        <v>0.92</v>
      </c>
      <c r="V42" s="1">
        <f>U8*U42</f>
        <v>92</v>
      </c>
      <c r="X42" s="237">
        <f>1-Y40</f>
        <v>0.92</v>
      </c>
      <c r="Y42" s="1">
        <f>X8*X42</f>
        <v>2.3000000000000003</v>
      </c>
      <c r="Z42" s="237">
        <f>1-AA40</f>
        <v>0.92</v>
      </c>
      <c r="AA42" s="1">
        <f>Z8*Z42</f>
        <v>0</v>
      </c>
      <c r="AB42" s="237">
        <f>1-AC40</f>
        <v>0.92</v>
      </c>
      <c r="AC42" s="1">
        <f>AB8*AB42</f>
        <v>515.20000000000005</v>
      </c>
      <c r="AD42" s="237">
        <f>1-AE40</f>
        <v>0.92</v>
      </c>
      <c r="AE42" s="1">
        <f>AD8*AD42</f>
        <v>0</v>
      </c>
      <c r="AF42" s="237">
        <f>1-AG40</f>
        <v>0.92</v>
      </c>
      <c r="AG42" s="1">
        <f>AF8*AF42</f>
        <v>0</v>
      </c>
      <c r="AI42" s="1">
        <f>AH8-AI40</f>
        <v>112.26018807351281</v>
      </c>
      <c r="AJ42" s="237">
        <f>1-AK40</f>
        <v>0.995</v>
      </c>
      <c r="AK42" s="1">
        <f>AJ8*AJ42</f>
        <v>11.94</v>
      </c>
      <c r="AL42" s="237">
        <f>1-AM40</f>
        <v>0.92</v>
      </c>
      <c r="AM42" s="1">
        <f>AL8*AL42</f>
        <v>0.63480000000000003</v>
      </c>
      <c r="AP42" s="236">
        <f>IF((AP14-AP40)&lt;0,0,IF((AP14-AP40)=2.5,0,(AP14-AP40)))</f>
        <v>0</v>
      </c>
      <c r="AR42" s="236">
        <f>IF((AR14-AR40)&lt;0,0,IF((AR14-AR40)=2.5,0,(AR14-AR40)))</f>
        <v>0</v>
      </c>
      <c r="AT42" s="236">
        <f>IF((AT14-AT40)&lt;0,0,IF((AT14-AT40)=2.5,0,(AT14-AT40)))</f>
        <v>0</v>
      </c>
      <c r="AV42" s="236">
        <f>IF((AV14-AV40)&lt;0,0,IF((AV14-AV40)=2.5,0,(AV14-AV40)))</f>
        <v>0</v>
      </c>
      <c r="AX42" s="237">
        <f>1-AY40</f>
        <v>0.92</v>
      </c>
      <c r="AY42" s="1">
        <f>AX8*AX42</f>
        <v>9.2000000000000012E-2</v>
      </c>
      <c r="AZ42" s="237">
        <f>1-BA40</f>
        <v>0.92</v>
      </c>
      <c r="BA42" s="1">
        <f>AZ8*AZ42</f>
        <v>2.7600000000000002</v>
      </c>
      <c r="BB42" s="237">
        <f>1-BC40</f>
        <v>0.92</v>
      </c>
      <c r="BC42" s="1">
        <f>BB8*BB42</f>
        <v>9.2000000000000011</v>
      </c>
      <c r="BD42" s="237">
        <f>1-BE40</f>
        <v>0.92</v>
      </c>
      <c r="BE42" s="1">
        <f>BD8*BD42</f>
        <v>0</v>
      </c>
      <c r="BF42" s="237">
        <f>1-BG40</f>
        <v>0.92</v>
      </c>
      <c r="BG42" s="1">
        <f>BF8*BF42</f>
        <v>0</v>
      </c>
      <c r="BJ42" s="236" t="e">
        <f>IF((BJ14-BJ40)&lt;0,0,IF((BJ14-BJ40)=2.5,0,(BJ14-BJ40)))</f>
        <v>#VALUE!</v>
      </c>
      <c r="BL42" s="236">
        <f>IF((BL14-BL40)&lt;0,0,IF((BL14-BL40)=2.5,0,(BL14-BL40)))</f>
        <v>7.5</v>
      </c>
      <c r="BO42" s="236">
        <f>BN8-BO40</f>
        <v>11.7</v>
      </c>
      <c r="BP42" s="237">
        <f>1-BQ40</f>
        <v>0.98499999999999999</v>
      </c>
      <c r="BQ42" s="1">
        <f>BP8*BP42</f>
        <v>295.5</v>
      </c>
      <c r="BR42" s="237">
        <f>1-BS40</f>
        <v>0.9</v>
      </c>
      <c r="BS42" s="1">
        <f>BR8*BR42</f>
        <v>0</v>
      </c>
      <c r="BT42" s="237">
        <f>1-BU40</f>
        <v>0.96499999999999997</v>
      </c>
      <c r="BU42" s="1">
        <f>BT8*BT42</f>
        <v>2082.7969741666666</v>
      </c>
      <c r="BV42" s="237">
        <f>1-BW40</f>
        <v>0.96499999999999997</v>
      </c>
      <c r="BW42" s="1">
        <f>BV8*BV42</f>
        <v>1679.6749791666664</v>
      </c>
      <c r="BX42" s="237">
        <f>1-BY40</f>
        <v>0.9</v>
      </c>
      <c r="BY42" s="1">
        <f>BX8*BX42</f>
        <v>2700</v>
      </c>
      <c r="BZ42" s="237">
        <f>1-CA40</f>
        <v>0.9</v>
      </c>
      <c r="CA42" s="1">
        <f>BZ8*BZ42</f>
        <v>0</v>
      </c>
    </row>
    <row r="43" spans="1:79" x14ac:dyDescent="0.2">
      <c r="B43" s="1" t="s">
        <v>454</v>
      </c>
      <c r="C43" s="1">
        <v>0.16663649999999999</v>
      </c>
      <c r="D43" t="s">
        <v>460</v>
      </c>
      <c r="E43" s="1">
        <v>2.7E-2</v>
      </c>
      <c r="J43" s="1" t="s">
        <v>487</v>
      </c>
      <c r="K43" s="1">
        <f>IF((IF(K41&gt;K6,L4+(L6-L4)/(K6-K4)*(K41-K4),IF(K41&lt;K6,L5+(L6-L5)/(K6-K5)*(K41-K5),IF(K41=K6,L6,""))))&lt;0,0,(IF(K41&gt;K6,L4+(L6-L4)/(K6-K4)*(K41-K4),IF(K41&lt;K6,L5+(L6-L5)/(K6-K5)*(K41-K5),IF(K41=K6,L6,"")))))</f>
        <v>8.76</v>
      </c>
      <c r="N43" s="1">
        <f>IF((N4+(N6-N4)/(M6-M4)*(N41-M4))&lt;0,0,(N4+(N6-N4)/(M6-M4)*(N41-M4)))</f>
        <v>0</v>
      </c>
      <c r="P43" s="1">
        <f>IF((P4+(P6-P4)/(O6-O4)*(P41-O4))&lt;0,0,(P4+(P6-P4)/(O6-O4)*(P41-O4)))</f>
        <v>3.5199999999999996</v>
      </c>
      <c r="R43" s="1">
        <f>IF((R4+(R6-R4)/(Q6-Q4)*(R41-Q4))&lt;0,0,(R4+(R6-R4)/(Q6-Q4)*(R41-Q4)))</f>
        <v>2.4399999999999991</v>
      </c>
      <c r="T43" s="1">
        <f>IF((T4+(T6-T4)/(S6-S4)*(T41-S4))&lt;0,0,(T4+(T6-T4)/(S6-S4)*(T41-S4)))</f>
        <v>9.4600000000000009</v>
      </c>
      <c r="V43" s="1">
        <f>IF((V4+(V6-V4)/(U6-U4)*(V41-U4))&lt;0,0,(V4+(V6-V4)/(U6-U4)*(V41-U4)))</f>
        <v>9.8650000000000002</v>
      </c>
      <c r="Y43" s="1">
        <f>IF(X11=TRUE,IF((Y4+(Y6-Y4)/(X6-X4)*(Y41-X4))&lt;0,0,(Y4+(Y6-Y4)/(X6-X4)*(Y41-X4))),"")</f>
        <v>8.0714285714285712</v>
      </c>
      <c r="AA43" s="1" t="str">
        <f>IF(Z11=TRUE,IF((AA4+(AA6-AA4)/(Z6-Z4)*(AA41-Z4))&lt;0,0,(AA4+(AA6-AA4)/(Z6-Z4)*(AA41-Z4))),"")</f>
        <v/>
      </c>
      <c r="AC43" s="1">
        <f>IF(AB11=TRUE,IF((AC4+(AC6-AC4)/(AB6-AB4)*(AC41-AB4))&lt;0,0,(AC4+(AC6-AC4)/(AB6-AB4)*(AC41-AB4))),"")</f>
        <v>0</v>
      </c>
      <c r="AE43" s="1" t="str">
        <f>IF(AD11=TRUE,IF((AE4+(AE6-AE4)/(AD6-AD4)*(AE41-AD4))&lt;0,0,(AE4+(AE6-AE4)/(AD6-AD4)*(AE41-AD4))),"")</f>
        <v/>
      </c>
      <c r="AG43" s="1" t="str">
        <f>IF(AF11=TRUE,IF((AG4+(AG6-AG4)/(AF6-AF4)*(AG41-AF4))&lt;0,0,(AG4+(AG6-AG4)/(AF6-AF4)*(AG41-AF4))),"")</f>
        <v/>
      </c>
      <c r="AI43" s="1">
        <f>IF(AH11=TRUE,IF((AI4+(AI6-AI4)/(AH6-AH4)*(AI41-AH4))&lt;0,0,(AI4+(AI6-AI4)/(AH6-AH4)*(AI41-AH4))),"")</f>
        <v>8.0956635321081194</v>
      </c>
      <c r="AK43" s="1">
        <f>IF(AJ11=TRUE,IF((AK4+(AK6-AK4)/(AJ6-AJ4)*(AK41-AJ4))&lt;0,0,(AK4+(AK6-AK4)/(AJ6-AJ4)*(AK41-AJ4))),"")</f>
        <v>0</v>
      </c>
      <c r="AM43" s="1">
        <f>IF(AL11=TRUE,IF((AM4+(AM6-AM4)/(AL6-AL4)*(AM41-AL4))&lt;0,0,(AM4+(AM6-AM4)/(AL6-AL4)*(AM41-AL4))),"")</f>
        <v>0</v>
      </c>
      <c r="AP43" s="236">
        <f>IF(AP11=TRUE,AP42,"")</f>
        <v>0</v>
      </c>
      <c r="AR43" s="236">
        <f>IF(AR11=TRUE,AR42,"")</f>
        <v>0</v>
      </c>
      <c r="AT43" s="236">
        <f>IF(AT11=TRUE,AT41,"")</f>
        <v>2.5</v>
      </c>
      <c r="AV43" s="236">
        <f>IF(AV11=TRUE,AV42,"")</f>
        <v>0</v>
      </c>
      <c r="AY43" s="1">
        <f>IF(AX11=TRUE,IF((AY4+(AY6-AY4)/(AX6-AX4)*(AY41-AX4))&lt;0,0,(AY4+(AY6-AY4)/(AX6-AX4)*(AY41-AX4))),"")</f>
        <v>9.9459999999999997</v>
      </c>
      <c r="BA43" s="1">
        <f>IF(AZ11=TRUE,IF((BA4+(BA6-BA4)/(AZ6-AZ4)*(BA41-AZ4))&lt;0,0,(BA4+(BA6-BA4)/(AZ6-AZ4)*(BA41-AZ4))),"")</f>
        <v>4.5999999999999996</v>
      </c>
      <c r="BC43" s="1">
        <f>IF(BB11=TRUE,IF((BC4+(BC6-BC4)/(BB6-BB4)*(BC41-BB4))&lt;0,0,(BC4+(BC6-BC4)/(BB6-BB4)*(BC41-BB4))),"")</f>
        <v>4.5999999999999996</v>
      </c>
      <c r="BE43" s="1" t="str">
        <f>IF(BD11=TRUE,IF((BE4+(BE6-BE4)/(BD6-BD4)*(BE41-BD4))&lt;0,0,(BE4+(BE6-BE4)/(BD6-BD4)*(BE41-BD4))),"")</f>
        <v/>
      </c>
      <c r="BG43" s="1" t="str">
        <f>IF(BF11=TRUE,IF((BG4+(BG6-BG4)/(BF6-BF4)*(BG41-BF4))&lt;0,0,(BG4+(BG6-BG4)/(BF6-BF4)*(BG41-BF4))),"")</f>
        <v/>
      </c>
      <c r="BJ43" s="236" t="str">
        <f>IF(BJ11=TRUE,BJ42,"")</f>
        <v/>
      </c>
      <c r="BL43" s="236">
        <f>IF(BL11=TRUE,BL42,"")</f>
        <v>7.5</v>
      </c>
      <c r="BO43" s="1">
        <f>IF((IF(BO42&lt;BN5,BO4+(BO5-BO4)/(BN5-BN4)*(BO42-BN4),IF(BO42&gt;BN5,BO5+(BO6-BO5)/(BN6-BN5)*(BO42-BN5),BO5)))&lt;0,0,(IF(BO42&lt;BN5,BO4+(BO5-BO4)/(BN5-BN4)*(BO42-BN4),IF(BO42&gt;BN5,BO5+(BO6-BO5)/(BN6-BN5)*(BO42-BN5),BO5))))</f>
        <v>1.6428571428571417</v>
      </c>
      <c r="BQ43" s="1">
        <f>IF((IF(BQ42&lt;BP5,BQ4+(BQ5-BQ4)/(BP5-BP4)*(BQ42-BP4),IF(BQ42&gt;BP5,BQ5+(BQ6-BQ5)/(BP6-BP5)*(BQ42-BP5),BQ5)))&lt;0,0,(IF(BQ42&lt;BP5,BQ4+(BQ5-BQ4)/(BP5-BP4)*(BQ42-BP4),IF(BQ42&gt;BP5,BQ5+(BQ6-BQ5)/(BP6-BP5)*(BQ42-BP5),BQ5))))</f>
        <v>6.5943877551020407</v>
      </c>
      <c r="BS43" s="236">
        <f>IF(BS41=0,10,IF(BS41&gt;BR5,BS4+(BS5-BS4)/(BR5-BR4)*(BS41-BR4),IF(BS41&lt;BR5,BS5+(BS6-BS5)/(BR6-BR5)*(BS41-BR5),BS5)))</f>
        <v>10</v>
      </c>
      <c r="BU43" s="236">
        <f>IF(BU41&lt;BT5,BU4+(BU5-BU4)/(BT5-BT4)*(BU41-BT4),IF(BU41&gt;BT5,BU5+(BU6-BU5)/(BT6-BT5)*(BU41-BT5),BU5))</f>
        <v>6.3531528011775364</v>
      </c>
      <c r="BW43" s="236">
        <f>IF(BW41&lt;BV5,BW4+(BW5-BW4)/(BV5-BV4)*(BW41-BV4),IF(BW41&gt;BV5,BW5+(BW6-BW5)/(BV6-BV5)*(BW41-BV5),BW5))</f>
        <v>5.9615187386775359</v>
      </c>
      <c r="BY43" s="236">
        <f>IF(BX11=TRUE,IF(BY42&lt;BX5,BY4+(BY5-BY4)/(BX5-BX4)*(BY42-BX4),IF(BY42&gt;BX5,BY5+(BY6-BY5)/(BX6-BX5)*(BY42-BX5),BY5)),"")</f>
        <v>8.5</v>
      </c>
      <c r="CA43" s="1">
        <f>IF(BZ11=TRUE,IF((CA4+(CA6-CA4)/(BZ6-BZ4)*(CA41-BZ4))&lt;0,0,(CA4+(CA6-CA4)/(BZ6-BZ4)*(CA41-BZ4))),"")</f>
        <v>13.333333333333332</v>
      </c>
    </row>
    <row r="44" spans="1:79" x14ac:dyDescent="0.2">
      <c r="B44" s="1" t="s">
        <v>455</v>
      </c>
      <c r="C44" s="1">
        <v>0.31890000000000002</v>
      </c>
      <c r="D44" t="s">
        <v>459</v>
      </c>
      <c r="E44" s="1">
        <v>0.38095000000000001</v>
      </c>
      <c r="J44" s="1" t="s">
        <v>488</v>
      </c>
      <c r="K44" s="1">
        <f>IF((IF(K42&gt;K6,L4+(L6-L4)/(K6-K4)*(K42-K4),IF(K42&lt;K6,L5+(L6-L5)/(K6-K5)*(K42-K5),IF(K42=K6,L6,""))))&lt;0,0,(IF(K42&gt;K6,L4+(L6-L4)/(K6-K4)*(K42-K4),IF(K42&lt;K6,L5+(L6-L5)/(K6-K5)*(K42-K5),IF(K42=K6,L6,"")))))</f>
        <v>8.7999999999999989</v>
      </c>
      <c r="N44" s="1">
        <f>IF((N4+(N6-N4)/(M6-M4)*(N42-M4))&lt;0,0,(N4+(N6-N4)/(M6-M4)*(N42-M4)))</f>
        <v>0</v>
      </c>
      <c r="P44" s="1">
        <f>IF((P4+(P6-P4)/(O6-O4)*(P42-O4))&lt;0,0,(P4+(P6-P4)/(O6-O4)*(P42-O4)))</f>
        <v>4.4799999999999995</v>
      </c>
      <c r="R44" s="1">
        <f>IF((R4+(R6-R4)/(Q6-Q4)*(R42-Q4))&lt;0,0,(R4+(R6-R4)/(Q6-Q4)*(R42-Q4)))</f>
        <v>3.5599999999999996</v>
      </c>
      <c r="T44" s="1">
        <f>IF((T4+(T6-T4)/(S6-S4)*(T42-S4))&lt;0,0,(T4+(T6-T4)/(S6-S4)*(T42-S4)))</f>
        <v>9.5399999999999991</v>
      </c>
      <c r="V44" s="1">
        <f>IF((V4+(V6-V4)/(U6-U4)*(V42-U4))&lt;0,0,(V4+(V6-V4)/(U6-U4)*(V42-U4)))</f>
        <v>9.8849999999999998</v>
      </c>
      <c r="Y44" s="1">
        <f>IF(X11=TRUE,IF((Y4+(Y6-Y4)/(X6-X4)*(Y42-X4))&lt;0,0,(Y4+(Y6-Y4)/(X6-X4)*(Y42-X4))),"")</f>
        <v>8.3571428571428577</v>
      </c>
      <c r="AA44" s="1" t="str">
        <f>IF(Z11=TRUE,IF((AA4+(AA6-AA4)/(Z6-Z4)*(AA42-Z4))&lt;0,0,(AA4+(AA6-AA4)/(Z6-Z4)*(AA42-Z4))),"")</f>
        <v/>
      </c>
      <c r="AC44" s="1">
        <f>IF(AB11=TRUE,IF((AC4+(AC6-AC4)/(AB6-AB4)*(AC42-AB4))&lt;0,0,(AC4+(AC6-AC4)/(AB6-AB4)*(AC42-AB4))),"")</f>
        <v>0</v>
      </c>
      <c r="AE44" s="1" t="str">
        <f>IF(AD11=TRUE,IF((AE4+(AE6-AE4)/(AD6-AD4)*(AE42-AD4))&lt;0,0,(AE4+(AE6-AE4)/(AD6-AD4)*(AE42-AD4))),"")</f>
        <v/>
      </c>
      <c r="AG44" s="1" t="str">
        <f>IF(AF11=TRUE,IF((AG4+(AG6-AG4)/(AF6-AF4)*(AG42-AF4))&lt;0,0,(AG4+(AG6-AG4)/(AF6-AF4)*(AG42-AF4))),"")</f>
        <v/>
      </c>
      <c r="AI44" s="1">
        <f>IF(AH11=TRUE,IF((AI4+(AI6-AI4)/(AH6-AH4)*(AI42-AH4))&lt;0,0,(AI4+(AI6-AI4)/(AH6-AH4)*(AI42-AH4))),"")</f>
        <v>8.1289968654414526</v>
      </c>
      <c r="AK44" s="1">
        <f>IF(AJ11=TRUE,IF((AK4+(AK6-AK4)/(AJ6-AJ4)*(AK42-AJ4))&lt;0,0,(AK4+(AK6-AK4)/(AJ6-AJ4)*(AK42-AJ4))),"")</f>
        <v>0</v>
      </c>
      <c r="AM44" s="1">
        <f>IF(AL11=TRUE,IF((AM4+(AM6-AM4)/(AL6-AL4)*(AM42-AL4))&lt;0,0,(AM4+(AM6-AM4)/(AL6-AL4)*(AM42-AL4))),"")</f>
        <v>0</v>
      </c>
      <c r="AP44" s="236">
        <f>IF(AP11=TRUE,AP41,"")</f>
        <v>2.5</v>
      </c>
      <c r="AR44" s="236">
        <f>IF(AR11=TRUE,AR41,"")</f>
        <v>7.5</v>
      </c>
      <c r="AT44" s="236">
        <f>IF(AT11=TRUE,AT42,"")</f>
        <v>0</v>
      </c>
      <c r="AV44" s="236">
        <f>IF(AV11=TRUE,AV41,"")</f>
        <v>2.5</v>
      </c>
      <c r="AY44" s="1">
        <f>IF(AX11=TRUE,IF((AY4+(AY6-AY4)/(AX6-AX4)*(AY42-AX4))&lt;0,0,(AY4+(AY6-AY4)/(AX6-AX4)*(AY42-AX4))),"")</f>
        <v>9.9540000000000006</v>
      </c>
      <c r="BA44" s="1">
        <f>IF(AZ11=TRUE,IF((BA4+(BA6-BA4)/(AZ6-AZ4)*(BA42-AZ4))&lt;0,0,(BA4+(BA6-BA4)/(AZ6-AZ4)*(BA42-AZ4))),"")</f>
        <v>5.3999999999999995</v>
      </c>
      <c r="BC44" s="1">
        <f>IF(BB11=TRUE,IF((BC4+(BC6-BC4)/(BB6-BB4)*(BC42-BB4))&lt;0,0,(BC4+(BC6-BC4)/(BB6-BB4)*(BC42-BB4))),"")</f>
        <v>5.3999999999999995</v>
      </c>
      <c r="BE44" s="1" t="str">
        <f>IF(BD11=TRUE,IF((BE4+(BE6-BE4)/(BD6-BD4)*(BE42-BD4))&lt;0,0,(BE4+(BE6-BE4)/(BD6-BD4)*(BE42-BD4))),"")</f>
        <v/>
      </c>
      <c r="BG44" s="1" t="str">
        <f>IF(BF11=TRUE,IF((BG4+(BG6-BG4)/(BF6-BF4)*(BG42-BF4))&lt;0,0,(BG4+(BG6-BG4)/(BF6-BF4)*(BG42-BF4))),"")</f>
        <v/>
      </c>
      <c r="BJ44" s="236" t="str">
        <f>IF(BJ11=TRUE,BJ41,"")</f>
        <v/>
      </c>
      <c r="BL44" s="236">
        <f>IF(BL11=TRUE,BL41,"")</f>
        <v>10</v>
      </c>
      <c r="BO44" s="1">
        <f>IF((IF(BO41&lt;BN5,BO4+(BO5-BO4)/(BN5-BN4)*(BO41-BN4),IF(BO41&gt;BN5,BO5+(BO6-BO5)/(BN6-BN5)*(BO41-BN5),BO5)))&lt;0,0,(IF(BO41&lt;BN5,BO4+(BO5-BO4)/(BN5-BN4)*(BO41-BN4),IF(BO41&gt;BN5,BO5+(BO6-BO5)/(BN6-BN5)*(BO41-BN5),BO5))))</f>
        <v>2.3571428571428563</v>
      </c>
      <c r="BQ44" s="1">
        <f>IF((IF(BQ41&lt;BP5,BQ4+(BQ5-BQ4)/(BP5-BP4)*(BQ41-BP4),IF(BQ41&gt;BP5,BQ5+(BQ6-BQ5)/(BP6-BP5)*(BQ41-BP5),BQ5)))&lt;0,0,(IF(BQ41&lt;BP5,BQ4+(BQ5-BQ4)/(BP5-BP4)*(BQ41-BP4),IF(BQ41&gt;BP5,BQ5+(BQ6-BQ5)/(BP6-BP5)*(BQ41-BP5),BQ5))))</f>
        <v>6.670918367346939</v>
      </c>
      <c r="BS44" s="236">
        <f>IF(BS42=0,10,IF(BS42&gt;BR5,BS4+(BS5-BS4)/(BR5-BR4)*(BS42-BR4),IF(BS42&lt;BR5,BS5+(BS6-BS5)/(BR6-BR5)*(BS42-BR5),BS5)))</f>
        <v>10</v>
      </c>
      <c r="BU44" s="236">
        <f>IF(BU42&lt;BT5,BU4+(BU5-BU4)/(BT5-BT4)*(BU42-BT4),IF(BU42&gt;BT5,BU5+(BU6-BU5)/(BT6-BT5)*(BU42-BT5),BU5))</f>
        <v>6.2163016070350245</v>
      </c>
      <c r="BW44" s="236">
        <f>IF(BW42&lt;BV5,BW4+(BW5-BW4)/(BV5-BV4)*(BW42-BV4),IF(BW42&gt;BV5,BW5+(BW6-BW5)/(BV6-BV5)*(BW42-BV5),BW5))</f>
        <v>5.8511548724335745</v>
      </c>
      <c r="BY44" s="236">
        <f>IF(BX11=TRUE,IF(BY41&lt;BX5,BY4+(BY5-BY4)/(BX5-BX4)*(BY41-BX4),IF(BY41&gt;BX5,BY5+(BY6-BY5)/(BX6-BX5)*(BY41-BX5),BY5)),"")</f>
        <v>11.500000000000004</v>
      </c>
      <c r="CA44" s="1">
        <f>IF(BZ11=TRUE,IF((CA4+(CA6-CA4)/(BZ6-BZ4)*(CA42-BZ4))&lt;0,0,(CA4+(CA6-CA4)/(BZ6-BZ4)*(CA42-BZ4))),"")</f>
        <v>13.333333333333332</v>
      </c>
    </row>
    <row r="45" spans="1:79" x14ac:dyDescent="0.2">
      <c r="G45" s="607">
        <f>G47*20</f>
        <v>8.1587301587301582</v>
      </c>
      <c r="H45" s="607"/>
      <c r="I45" s="607"/>
      <c r="K45" s="695">
        <f>SUM(K43:V43)/60</f>
        <v>0.56741666666666668</v>
      </c>
      <c r="L45" s="695"/>
      <c r="M45" s="695"/>
      <c r="N45" s="695"/>
      <c r="O45" s="695"/>
      <c r="P45" s="695"/>
      <c r="Q45" s="695"/>
      <c r="R45" s="695"/>
      <c r="S45" s="695"/>
      <c r="T45" s="695"/>
      <c r="U45" s="695"/>
      <c r="V45" s="695"/>
      <c r="W45" s="692">
        <f>IF((SUM(W43:AV43)/X20-Z47)&lt;0,0,(SUM(W43:AV43)/X20-Z47))</f>
        <v>0</v>
      </c>
      <c r="X45" s="692"/>
      <c r="Y45" s="692"/>
      <c r="Z45" s="692"/>
      <c r="AA45" s="692"/>
      <c r="AB45" s="692"/>
      <c r="AC45" s="692"/>
      <c r="AD45" s="692"/>
      <c r="AE45" s="692"/>
      <c r="AF45" s="692"/>
      <c r="AG45" s="692"/>
      <c r="AH45" s="692"/>
      <c r="AI45" s="692"/>
      <c r="AJ45" s="692"/>
      <c r="AK45" s="692"/>
      <c r="AL45" s="692"/>
      <c r="AM45" s="692"/>
      <c r="AN45" s="692"/>
      <c r="AO45" s="692"/>
      <c r="AP45" s="692"/>
      <c r="AQ45" s="692"/>
      <c r="AR45" s="692"/>
      <c r="AS45" s="692"/>
      <c r="AT45" s="692"/>
      <c r="AU45" s="692"/>
      <c r="AV45" s="692"/>
      <c r="AW45" s="696">
        <f>MAX(SUM(AX43:BL43)/AX20-AZ47,0)</f>
        <v>0.23757857142857147</v>
      </c>
      <c r="AX45" s="696"/>
      <c r="AY45" s="696"/>
      <c r="AZ45" s="696"/>
      <c r="BA45" s="696"/>
      <c r="BB45" s="696"/>
      <c r="BC45" s="696"/>
      <c r="BD45" s="696"/>
      <c r="BE45" s="696"/>
      <c r="BF45" s="696"/>
      <c r="BG45" s="696"/>
      <c r="BH45" s="696"/>
      <c r="BI45" s="696"/>
      <c r="BJ45" s="696"/>
      <c r="BK45" s="696"/>
      <c r="BL45" s="696"/>
      <c r="BN45" s="692">
        <f>MAX(SUM(BN43:CA43)/BN20-BQ47,0)</f>
        <v>0.74836071101639412</v>
      </c>
      <c r="BO45" s="692"/>
      <c r="BP45" s="692"/>
      <c r="BQ45" s="692"/>
      <c r="BR45" s="692"/>
      <c r="BS45" s="692"/>
      <c r="BT45" s="692"/>
      <c r="BU45" s="692"/>
      <c r="BV45" s="692"/>
      <c r="BW45" s="692"/>
      <c r="BX45" s="692"/>
      <c r="BY45" s="692"/>
      <c r="BZ45" s="692"/>
      <c r="CA45" s="692"/>
    </row>
    <row r="46" spans="1:79" x14ac:dyDescent="0.2">
      <c r="G46" s="607">
        <f>G48*20</f>
        <v>12.158730158730158</v>
      </c>
      <c r="H46" s="607"/>
      <c r="I46" s="607"/>
      <c r="K46" s="695">
        <f>SUM(K44:V44)/60</f>
        <v>0.6044166666666666</v>
      </c>
      <c r="L46" s="695"/>
      <c r="M46" s="695"/>
      <c r="N46" s="695"/>
      <c r="O46" s="695"/>
      <c r="P46" s="695"/>
      <c r="Q46" s="695"/>
      <c r="R46" s="695"/>
      <c r="S46" s="695"/>
      <c r="T46" s="695"/>
      <c r="U46" s="695"/>
      <c r="V46" s="695"/>
      <c r="W46" s="692">
        <f>IF((SUM(W44:AV44)/X20+Z47)&gt;1,1,(SUM(W44:AV44)/X20+Z47))</f>
        <v>0.57206821913982564</v>
      </c>
      <c r="X46" s="692"/>
      <c r="Y46" s="692"/>
      <c r="Z46" s="692"/>
      <c r="AA46" s="692"/>
      <c r="AB46" s="692"/>
      <c r="AC46" s="692"/>
      <c r="AD46" s="692"/>
      <c r="AE46" s="692"/>
      <c r="AF46" s="692"/>
      <c r="AG46" s="692"/>
      <c r="AH46" s="692"/>
      <c r="AI46" s="692"/>
      <c r="AJ46" s="692"/>
      <c r="AK46" s="692"/>
      <c r="AL46" s="692"/>
      <c r="AM46" s="692"/>
      <c r="AN46" s="692"/>
      <c r="AO46" s="692"/>
      <c r="AP46" s="692"/>
      <c r="AQ46" s="692"/>
      <c r="AR46" s="692"/>
      <c r="AS46" s="692"/>
      <c r="AT46" s="692"/>
      <c r="AU46" s="692"/>
      <c r="AV46" s="692"/>
      <c r="AW46" s="696">
        <f>MIN(SUM(AX44:BL44)/AX20+AZ47,1)</f>
        <v>1</v>
      </c>
      <c r="AX46" s="696"/>
      <c r="AY46" s="696"/>
      <c r="AZ46" s="696"/>
      <c r="BA46" s="696"/>
      <c r="BB46" s="696"/>
      <c r="BC46" s="696"/>
      <c r="BD46" s="696"/>
      <c r="BE46" s="696"/>
      <c r="BF46" s="696"/>
      <c r="BG46" s="696"/>
      <c r="BH46" s="696"/>
      <c r="BI46" s="696"/>
      <c r="BJ46" s="696"/>
      <c r="BK46" s="696"/>
      <c r="BL46" s="696"/>
      <c r="BN46" s="692">
        <f>MIN(SUM(BN44:CA44)/BN20+BQ47,1)</f>
        <v>0.79898358624702481</v>
      </c>
      <c r="BO46" s="692"/>
      <c r="BP46" s="692"/>
      <c r="BQ46" s="692"/>
      <c r="BR46" s="692"/>
      <c r="BS46" s="692"/>
      <c r="BT46" s="692"/>
      <c r="BU46" s="692"/>
      <c r="BV46" s="692"/>
      <c r="BW46" s="692"/>
      <c r="BX46" s="692"/>
      <c r="BY46" s="692"/>
      <c r="BZ46" s="692"/>
      <c r="CA46" s="692"/>
    </row>
    <row r="47" spans="1:79" x14ac:dyDescent="0.2">
      <c r="G47" s="692">
        <f>IF((G20-(G41+G40))&lt;0,0,(G20-(G41+G40)))</f>
        <v>0.40793650793650793</v>
      </c>
      <c r="H47" s="692"/>
      <c r="I47" s="692"/>
      <c r="J47" s="1" t="s">
        <v>490</v>
      </c>
      <c r="K47" s="693">
        <f>MAX(K45-J48,0)</f>
        <v>0.26741666666666669</v>
      </c>
      <c r="L47" s="607"/>
      <c r="M47" s="607"/>
      <c r="N47" s="607"/>
      <c r="O47" s="607"/>
      <c r="P47" s="607"/>
      <c r="Q47" s="607"/>
      <c r="R47" s="607"/>
      <c r="S47" s="607"/>
      <c r="T47" s="607"/>
      <c r="U47" s="607"/>
      <c r="V47" s="607"/>
      <c r="W47" s="1" t="s">
        <v>492</v>
      </c>
      <c r="X47" s="1">
        <f>COUNTIF(X11:AV11,TRUE)</f>
        <v>9</v>
      </c>
      <c r="Y47" s="1" t="s">
        <v>493</v>
      </c>
      <c r="Z47" s="239">
        <f>(X48-X47)*Y48</f>
        <v>0.25</v>
      </c>
      <c r="AW47" s="1" t="s">
        <v>492</v>
      </c>
      <c r="AX47" s="1">
        <f>COUNTIF(AX11:BL11,TRUE)</f>
        <v>4</v>
      </c>
      <c r="AY47" s="1" t="s">
        <v>493</v>
      </c>
      <c r="AZ47" s="239">
        <f>(AX48-AX47)*AY48</f>
        <v>0.42857142857142855</v>
      </c>
      <c r="BN47" s="1" t="s">
        <v>492</v>
      </c>
      <c r="BO47" s="236">
        <f>COUNTIF(BX11:BZ11,TRUE)+5</f>
        <v>7</v>
      </c>
      <c r="BP47" s="1" t="s">
        <v>493</v>
      </c>
      <c r="BQ47" s="239">
        <f>(BO48-BO47)*BP48</f>
        <v>0</v>
      </c>
    </row>
    <row r="48" spans="1:79" x14ac:dyDescent="0.2">
      <c r="G48" s="692">
        <f>IF((G20+(G41+H40))&gt;1,1,(G20+(G41+H40)))</f>
        <v>0.60793650793650789</v>
      </c>
      <c r="H48" s="692"/>
      <c r="I48" s="692"/>
      <c r="J48" s="237">
        <v>0.3</v>
      </c>
      <c r="K48" s="693">
        <f>K46+J48</f>
        <v>0.90441666666666665</v>
      </c>
      <c r="L48" s="607"/>
      <c r="M48" s="607"/>
      <c r="N48" s="607"/>
      <c r="O48" s="607"/>
      <c r="P48" s="607"/>
      <c r="Q48" s="607"/>
      <c r="R48" s="607"/>
      <c r="S48" s="607"/>
      <c r="T48" s="607"/>
      <c r="U48" s="607"/>
      <c r="V48" s="607"/>
      <c r="X48" s="1">
        <v>12</v>
      </c>
      <c r="Y48" s="237">
        <f>1/X48</f>
        <v>8.3333333333333329E-2</v>
      </c>
      <c r="AW48" s="1"/>
      <c r="AX48" s="1">
        <v>7</v>
      </c>
      <c r="AY48" s="237">
        <f>1/AX48</f>
        <v>0.14285714285714285</v>
      </c>
      <c r="BO48" s="1">
        <v>7</v>
      </c>
      <c r="BP48" s="237">
        <f>1/BO48</f>
        <v>0.14285714285714285</v>
      </c>
    </row>
    <row r="49" spans="10:71" x14ac:dyDescent="0.2">
      <c r="J49" s="241" t="s">
        <v>491</v>
      </c>
      <c r="K49" s="694">
        <f>MAX(K34-J50+J52,0)</f>
        <v>0.28284586076035095</v>
      </c>
      <c r="L49" s="694"/>
      <c r="M49" s="694"/>
      <c r="N49" s="694"/>
      <c r="O49" s="694"/>
      <c r="P49" s="694"/>
      <c r="Q49" s="694"/>
      <c r="R49" s="694"/>
      <c r="S49" s="694"/>
      <c r="T49" s="694"/>
      <c r="U49" s="694"/>
      <c r="V49" s="694"/>
    </row>
    <row r="50" spans="10:71" x14ac:dyDescent="0.2">
      <c r="J50" s="314">
        <f>5%</f>
        <v>0.05</v>
      </c>
      <c r="K50" s="694">
        <f>K34+J50+J54</f>
        <v>0.47896689680934051</v>
      </c>
      <c r="L50" s="694"/>
      <c r="M50" s="694"/>
      <c r="N50" s="694"/>
      <c r="O50" s="694"/>
      <c r="P50" s="694"/>
      <c r="Q50" s="694"/>
      <c r="R50" s="694"/>
      <c r="S50" s="694"/>
      <c r="T50" s="694"/>
      <c r="U50" s="694"/>
      <c r="V50" s="694"/>
      <c r="BS50" s="1">
        <f>0.5/24</f>
        <v>2.0833333333333332E-2</v>
      </c>
    </row>
    <row r="51" spans="10:71" x14ac:dyDescent="0.2">
      <c r="J51" s="241" t="s">
        <v>556</v>
      </c>
      <c r="K51" s="241"/>
      <c r="L51" s="241"/>
      <c r="M51" s="241"/>
      <c r="N51" s="241">
        <f>(N43*M30+P43*O30+Q30*R43+T43*S30+V43*U30)*5+K44</f>
        <v>21.755989254096697</v>
      </c>
      <c r="O51" s="222">
        <f>-(K32-N51)/K32</f>
        <v>-4.8060518024494792E-2</v>
      </c>
      <c r="P51" s="241"/>
      <c r="Q51" s="241"/>
      <c r="R51" s="241"/>
      <c r="S51" s="241"/>
      <c r="T51" s="241"/>
      <c r="U51" s="241"/>
      <c r="V51" s="241"/>
    </row>
    <row r="52" spans="10:71" x14ac:dyDescent="0.2">
      <c r="J52" s="314">
        <f>O51</f>
        <v>-4.8060518024494792E-2</v>
      </c>
      <c r="K52" s="241"/>
      <c r="L52" s="241"/>
      <c r="M52" s="241"/>
      <c r="N52" s="241">
        <f>(N44*M30+P44*O30+Q30*R44+T44*S30+V44*U30)*5+K43</f>
        <v>23.952776200084791</v>
      </c>
      <c r="O52" s="431">
        <f>-(K32-N52)/K32</f>
        <v>4.8060518024494792E-2</v>
      </c>
      <c r="P52" s="241"/>
      <c r="Q52" s="241"/>
      <c r="R52" s="241"/>
      <c r="S52" s="241"/>
      <c r="T52" s="241"/>
      <c r="U52" s="241"/>
      <c r="V52" s="241"/>
    </row>
    <row r="53" spans="10:71" x14ac:dyDescent="0.2">
      <c r="J53" s="241" t="s">
        <v>557</v>
      </c>
      <c r="K53" s="241"/>
      <c r="L53" s="241"/>
      <c r="M53" s="241"/>
      <c r="N53" s="241"/>
      <c r="O53" s="241"/>
      <c r="P53" s="241"/>
      <c r="Q53" s="241"/>
      <c r="R53" s="241"/>
      <c r="S53" s="241"/>
      <c r="T53" s="241"/>
      <c r="U53" s="241"/>
      <c r="V53" s="241"/>
    </row>
    <row r="54" spans="10:71" x14ac:dyDescent="0.2">
      <c r="J54" s="314">
        <f>O52</f>
        <v>4.8060518024494792E-2</v>
      </c>
      <c r="K54" s="241"/>
      <c r="L54" s="241"/>
      <c r="M54" s="241"/>
      <c r="N54" s="241"/>
      <c r="O54" s="241"/>
      <c r="P54" s="241"/>
      <c r="Q54" s="241"/>
      <c r="R54" s="241"/>
      <c r="S54" s="241"/>
      <c r="T54" s="241"/>
      <c r="U54" s="241"/>
      <c r="V54" s="241"/>
    </row>
    <row r="78" spans="8:8" x14ac:dyDescent="0.2">
      <c r="H78" s="367"/>
    </row>
  </sheetData>
  <sheetProtection algorithmName="SHA-512" hashValue="DP+zXJvNl3Ud62x3CUk82vubvR72ZshbTQFSyU5yG48+DOC16FlfsUAJXWsCCb7rBwKVkUE3+hkOXvHZ+RrI7w==" saltValue="867eWcV3rOiZnfeRyGay6A==" spinCount="100000" sheet="1" objects="1" scenarios="1"/>
  <mergeCells count="117">
    <mergeCell ref="BN1:CA1"/>
    <mergeCell ref="BN19:CA19"/>
    <mergeCell ref="BN20:CA20"/>
    <mergeCell ref="BN21:CA21"/>
    <mergeCell ref="BN2:BO2"/>
    <mergeCell ref="BP2:BQ2"/>
    <mergeCell ref="BR2:BS2"/>
    <mergeCell ref="BT2:BU2"/>
    <mergeCell ref="BX2:BY2"/>
    <mergeCell ref="BZ2:CA2"/>
    <mergeCell ref="BV2:BW2"/>
    <mergeCell ref="X21:AV21"/>
    <mergeCell ref="G19:I19"/>
    <mergeCell ref="G20:I20"/>
    <mergeCell ref="AO2:AP2"/>
    <mergeCell ref="AU2:AV2"/>
    <mergeCell ref="AS2:AT2"/>
    <mergeCell ref="AN4:AN8"/>
    <mergeCell ref="X19:AV19"/>
    <mergeCell ref="X20:AV20"/>
    <mergeCell ref="Q2:R2"/>
    <mergeCell ref="S2:T2"/>
    <mergeCell ref="U2:V2"/>
    <mergeCell ref="G1:I1"/>
    <mergeCell ref="M2:N2"/>
    <mergeCell ref="K2:L2"/>
    <mergeCell ref="O2:P2"/>
    <mergeCell ref="H2:I2"/>
    <mergeCell ref="J1:V1"/>
    <mergeCell ref="X1:AV1"/>
    <mergeCell ref="X2:Y2"/>
    <mergeCell ref="Z2:AA2"/>
    <mergeCell ref="AB2:AC2"/>
    <mergeCell ref="AD2:AE2"/>
    <mergeCell ref="AF2:AG2"/>
    <mergeCell ref="AQ2:AR2"/>
    <mergeCell ref="AH2:AI2"/>
    <mergeCell ref="AJ2:AK2"/>
    <mergeCell ref="AL2:AM2"/>
    <mergeCell ref="M29:U29"/>
    <mergeCell ref="M33:U33"/>
    <mergeCell ref="J33:J34"/>
    <mergeCell ref="K34:U34"/>
    <mergeCell ref="K32:U32"/>
    <mergeCell ref="K23:V23"/>
    <mergeCell ref="M27:U27"/>
    <mergeCell ref="M18:U18"/>
    <mergeCell ref="M19:U19"/>
    <mergeCell ref="J19:J20"/>
    <mergeCell ref="K20:U20"/>
    <mergeCell ref="M24:N24"/>
    <mergeCell ref="O24:P24"/>
    <mergeCell ref="Q24:R24"/>
    <mergeCell ref="S24:T24"/>
    <mergeCell ref="U24:V24"/>
    <mergeCell ref="AX20:BL20"/>
    <mergeCell ref="AX21:BL21"/>
    <mergeCell ref="AW1:BL1"/>
    <mergeCell ref="BI2:BJ2"/>
    <mergeCell ref="BK2:BL2"/>
    <mergeCell ref="BH4:BH8"/>
    <mergeCell ref="AX19:BL19"/>
    <mergeCell ref="AX2:AY2"/>
    <mergeCell ref="AZ2:BA2"/>
    <mergeCell ref="BB2:BC2"/>
    <mergeCell ref="BD2:BE2"/>
    <mergeCell ref="BF2:BG2"/>
    <mergeCell ref="AO39:AP39"/>
    <mergeCell ref="AQ39:AR39"/>
    <mergeCell ref="AS39:AT39"/>
    <mergeCell ref="AU39:AV39"/>
    <mergeCell ref="AX39:AY39"/>
    <mergeCell ref="F37:CA38"/>
    <mergeCell ref="H39:I39"/>
    <mergeCell ref="K39:L39"/>
    <mergeCell ref="M39:N39"/>
    <mergeCell ref="O39:P39"/>
    <mergeCell ref="Q39:R39"/>
    <mergeCell ref="S39:T39"/>
    <mergeCell ref="U39:V39"/>
    <mergeCell ref="X39:Y39"/>
    <mergeCell ref="Z39:AA39"/>
    <mergeCell ref="AB39:AC39"/>
    <mergeCell ref="AD39:AE39"/>
    <mergeCell ref="AF39:AG39"/>
    <mergeCell ref="AH39:AI39"/>
    <mergeCell ref="AJ39:AK39"/>
    <mergeCell ref="AL39:AM39"/>
    <mergeCell ref="BV39:BW39"/>
    <mergeCell ref="BX39:BY39"/>
    <mergeCell ref="BZ39:CA39"/>
    <mergeCell ref="AW45:BL45"/>
    <mergeCell ref="AW46:BL46"/>
    <mergeCell ref="BN45:CA45"/>
    <mergeCell ref="BN46:CA46"/>
    <mergeCell ref="BK39:BL39"/>
    <mergeCell ref="BN39:BO39"/>
    <mergeCell ref="BP39:BQ39"/>
    <mergeCell ref="BR39:BS39"/>
    <mergeCell ref="BT39:BU39"/>
    <mergeCell ref="AZ39:BA39"/>
    <mergeCell ref="BB39:BC39"/>
    <mergeCell ref="BD39:BE39"/>
    <mergeCell ref="BF39:BG39"/>
    <mergeCell ref="BI39:BJ39"/>
    <mergeCell ref="G47:I47"/>
    <mergeCell ref="G48:I48"/>
    <mergeCell ref="G45:I45"/>
    <mergeCell ref="G46:I46"/>
    <mergeCell ref="K47:V47"/>
    <mergeCell ref="K48:V48"/>
    <mergeCell ref="K49:V49"/>
    <mergeCell ref="K50:V50"/>
    <mergeCell ref="W45:AV45"/>
    <mergeCell ref="W46:AV46"/>
    <mergeCell ref="K45:V45"/>
    <mergeCell ref="K46:V46"/>
  </mergeCells>
  <conditionalFormatting sqref="B8:E8 K8:V8 X8 Z8 AB8 AD8 AF8">
    <cfRule type="cellIs" dxfId="65" priority="53" operator="equal">
      <formula>"Ja"</formula>
    </cfRule>
    <cfRule type="cellIs" dxfId="64" priority="52" operator="equal">
      <formula>"Nein"</formula>
    </cfRule>
    <cfRule type="cellIs" dxfId="63" priority="54" operator="equal">
      <formula>"Nein"</formula>
    </cfRule>
  </conditionalFormatting>
  <conditionalFormatting sqref="G8">
    <cfRule type="cellIs" dxfId="62" priority="42" operator="equal">
      <formula>"Nein"</formula>
    </cfRule>
    <cfRule type="cellIs" dxfId="61" priority="41" operator="equal">
      <formula>"Ja"</formula>
    </cfRule>
    <cfRule type="cellIs" dxfId="60" priority="40" operator="equal">
      <formula>"Nein"</formula>
    </cfRule>
  </conditionalFormatting>
  <conditionalFormatting sqref="I8:I11">
    <cfRule type="cellIs" dxfId="59" priority="39" operator="equal">
      <formula>"Nein"</formula>
    </cfRule>
    <cfRule type="cellIs" dxfId="58" priority="38" operator="equal">
      <formula>"Ja"</formula>
    </cfRule>
    <cfRule type="cellIs" dxfId="57" priority="37" operator="equal">
      <formula>"Nein"</formula>
    </cfRule>
  </conditionalFormatting>
  <conditionalFormatting sqref="M26">
    <cfRule type="cellIs" dxfId="56" priority="35" operator="equal">
      <formula>"Ja"</formula>
    </cfRule>
    <cfRule type="cellIs" dxfId="55" priority="36" operator="equal">
      <formula>"Nein"</formula>
    </cfRule>
    <cfRule type="cellIs" dxfId="54" priority="34" operator="equal">
      <formula>"Nein"</formula>
    </cfRule>
  </conditionalFormatting>
  <conditionalFormatting sqref="O26">
    <cfRule type="cellIs" dxfId="53" priority="33" operator="equal">
      <formula>"Nein"</formula>
    </cfRule>
    <cfRule type="cellIs" dxfId="52" priority="32" operator="equal">
      <formula>"Ja"</formula>
    </cfRule>
    <cfRule type="cellIs" dxfId="51" priority="31" operator="equal">
      <formula>"Nein"</formula>
    </cfRule>
  </conditionalFormatting>
  <conditionalFormatting sqref="Q26">
    <cfRule type="cellIs" dxfId="50" priority="30" operator="equal">
      <formula>"Nein"</formula>
    </cfRule>
    <cfRule type="cellIs" dxfId="49" priority="29" operator="equal">
      <formula>"Ja"</formula>
    </cfRule>
    <cfRule type="cellIs" dxfId="48" priority="28" operator="equal">
      <formula>"Nein"</formula>
    </cfRule>
  </conditionalFormatting>
  <conditionalFormatting sqref="S26">
    <cfRule type="cellIs" dxfId="47" priority="27" operator="equal">
      <formula>"Nein"</formula>
    </cfRule>
    <cfRule type="cellIs" dxfId="46" priority="26" operator="equal">
      <formula>"Ja"</formula>
    </cfRule>
    <cfRule type="cellIs" dxfId="45" priority="25" operator="equal">
      <formula>"Nein"</formula>
    </cfRule>
  </conditionalFormatting>
  <conditionalFormatting sqref="U26">
    <cfRule type="cellIs" dxfId="44" priority="22" operator="equal">
      <formula>"Nein"</formula>
    </cfRule>
    <cfRule type="cellIs" dxfId="43" priority="23" operator="equal">
      <formula>"Ja"</formula>
    </cfRule>
    <cfRule type="cellIs" dxfId="42" priority="24" operator="equal">
      <formula>"Nein"</formula>
    </cfRule>
  </conditionalFormatting>
  <conditionalFormatting sqref="BN8">
    <cfRule type="cellIs" dxfId="41" priority="21" operator="equal">
      <formula>"Nein"</formula>
    </cfRule>
    <cfRule type="cellIs" dxfId="40" priority="20" operator="equal">
      <formula>"Ja"</formula>
    </cfRule>
    <cfRule type="cellIs" dxfId="39" priority="19" operator="equal">
      <formula>"Nein"</formula>
    </cfRule>
  </conditionalFormatting>
  <conditionalFormatting sqref="BP8">
    <cfRule type="cellIs" dxfId="38" priority="18" operator="equal">
      <formula>"Nein"</formula>
    </cfRule>
    <cfRule type="cellIs" dxfId="37" priority="17" operator="equal">
      <formula>"Ja"</formula>
    </cfRule>
    <cfRule type="cellIs" dxfId="36" priority="16" operator="equal">
      <formula>"Nein"</formula>
    </cfRule>
  </conditionalFormatting>
  <conditionalFormatting sqref="BR8">
    <cfRule type="cellIs" dxfId="35" priority="15" operator="equal">
      <formula>"Nein"</formula>
    </cfRule>
    <cfRule type="cellIs" dxfId="34" priority="14" operator="equal">
      <formula>"Ja"</formula>
    </cfRule>
    <cfRule type="cellIs" dxfId="33" priority="13" operator="equal">
      <formula>"Nein"</formula>
    </cfRule>
  </conditionalFormatting>
  <conditionalFormatting sqref="BT8">
    <cfRule type="cellIs" dxfId="32" priority="12" operator="equal">
      <formula>"Nein"</formula>
    </cfRule>
    <cfRule type="cellIs" dxfId="31" priority="10" operator="equal">
      <formula>"Nein"</formula>
    </cfRule>
    <cfRule type="cellIs" dxfId="30" priority="11" operator="equal">
      <formula>"Ja"</formula>
    </cfRule>
  </conditionalFormatting>
  <conditionalFormatting sqref="BV8">
    <cfRule type="cellIs" dxfId="29" priority="1" operator="equal">
      <formula>"Nein"</formula>
    </cfRule>
    <cfRule type="cellIs" dxfId="28" priority="3" operator="equal">
      <formula>"Nein"</formula>
    </cfRule>
    <cfRule type="cellIs" dxfId="27" priority="2" operator="equal">
      <formula>"Ja"</formula>
    </cfRule>
  </conditionalFormatting>
  <conditionalFormatting sqref="BX8">
    <cfRule type="cellIs" dxfId="26" priority="9" operator="equal">
      <formula>"Nein"</formula>
    </cfRule>
    <cfRule type="cellIs" dxfId="25" priority="8" operator="equal">
      <formula>"Ja"</formula>
    </cfRule>
    <cfRule type="cellIs" dxfId="24" priority="7" operator="equal">
      <formula>"Nein"</formula>
    </cfRule>
  </conditionalFormatting>
  <conditionalFormatting sqref="BZ8">
    <cfRule type="cellIs" dxfId="23" priority="6" operator="equal">
      <formula>"Nein"</formula>
    </cfRule>
    <cfRule type="cellIs" dxfId="22" priority="5" operator="equal">
      <formula>"Ja"</formula>
    </cfRule>
    <cfRule type="cellIs" dxfId="21" priority="4" operator="equal">
      <formula>"Nein"</formula>
    </cfRule>
  </conditionalFormatting>
  <pageMargins left="0.78749999999999998" right="0.78749999999999998" top="1.05277777777778" bottom="1.05277777777778" header="0.78749999999999998" footer="0.78749999999999998"/>
  <pageSetup orientation="portrait" horizontalDpi="300" verticalDpi="300" r:id="rId1"/>
  <headerFooter>
    <oddHeader>&amp;C&amp;"Times New Roman,Regular"&amp;12&amp;A</oddHeader>
    <oddFooter>&amp;C&amp;"Times New Roman,Regular"&amp;12Page &amp;P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3223B-B4ED-41D1-B1BB-6FC0B919F083}">
  <sheetPr>
    <tabColor theme="5" tint="0.79998168889431442"/>
  </sheetPr>
  <dimension ref="B2:BF214"/>
  <sheetViews>
    <sheetView topLeftCell="A36" zoomScale="70" zoomScaleNormal="70" workbookViewId="0">
      <selection activeCell="Q67" sqref="Q67"/>
    </sheetView>
  </sheetViews>
  <sheetFormatPr baseColWidth="10" defaultRowHeight="12.75" x14ac:dyDescent="0.2"/>
  <cols>
    <col min="3" max="3" width="16.140625" customWidth="1"/>
    <col min="4" max="4" width="15.7109375" customWidth="1"/>
    <col min="5" max="5" width="20.5703125" customWidth="1"/>
    <col min="6" max="6" width="22.7109375" customWidth="1"/>
    <col min="7" max="7" width="18.5703125" customWidth="1"/>
    <col min="8" max="8" width="19.42578125" customWidth="1"/>
    <col min="11" max="11" width="13" bestFit="1" customWidth="1"/>
    <col min="12" max="12" width="13.7109375" customWidth="1"/>
    <col min="13" max="13" width="20.5703125" customWidth="1"/>
    <col min="14" max="14" width="20" customWidth="1"/>
    <col min="15" max="15" width="21.5703125" customWidth="1"/>
    <col min="16" max="36" width="21.5703125" style="241" customWidth="1"/>
  </cols>
  <sheetData>
    <row r="2" spans="2:57" x14ac:dyDescent="0.2">
      <c r="B2" t="s">
        <v>547</v>
      </c>
    </row>
    <row r="3" spans="2:57" x14ac:dyDescent="0.2">
      <c r="C3" s="648" t="str">
        <f>'Ausgabe Standortbewertung'!B17</f>
        <v>Bewertung Kategorien</v>
      </c>
      <c r="D3" s="648"/>
      <c r="E3" s="648"/>
      <c r="F3" s="648"/>
      <c r="G3" s="648"/>
      <c r="H3" s="241"/>
      <c r="I3" s="241" t="s">
        <v>563</v>
      </c>
      <c r="AL3" t="s">
        <v>33</v>
      </c>
    </row>
    <row r="4" spans="2:57" x14ac:dyDescent="0.2">
      <c r="B4" s="241"/>
      <c r="C4" s="648"/>
      <c r="D4" s="648"/>
      <c r="E4" s="648"/>
      <c r="F4" s="648"/>
      <c r="G4" s="648"/>
      <c r="H4" s="241"/>
      <c r="I4" s="328" t="str">
        <f>'Strömung-Temp-Fouling'!A3</f>
        <v>Parameter</v>
      </c>
      <c r="J4" s="326" t="str">
        <f>'Strömung-Temp-Fouling'!B3</f>
        <v>Temperatur</v>
      </c>
      <c r="K4" s="327" t="str">
        <f>'Strömung-Temp-Fouling'!C3</f>
        <v>Heiztemperatur</v>
      </c>
      <c r="L4" s="327" t="str">
        <f>'Strömung-Temp-Fouling'!D3</f>
        <v>Kühltemperatur</v>
      </c>
      <c r="M4" s="327" t="str">
        <f>'Strömung-Temp-Fouling'!E3</f>
        <v>Gesamttemperatur</v>
      </c>
      <c r="N4" s="224" t="str">
        <f>'Strömung-Temp-Fouling'!F3</f>
        <v>Strömungsgeschwindigkeit</v>
      </c>
      <c r="AL4" s="738" t="s">
        <v>565</v>
      </c>
      <c r="AM4" s="738"/>
      <c r="AN4" s="738"/>
      <c r="AO4" s="738"/>
      <c r="AP4" s="738"/>
      <c r="AQ4" s="738"/>
      <c r="AR4" s="330"/>
      <c r="AS4" s="738" t="s">
        <v>566</v>
      </c>
      <c r="AT4" s="738"/>
      <c r="AU4" s="738"/>
      <c r="AV4" s="738"/>
      <c r="AW4" s="738"/>
      <c r="AX4" s="738"/>
      <c r="AY4" s="330"/>
      <c r="AZ4" s="738" t="s">
        <v>567</v>
      </c>
      <c r="BA4" s="738"/>
      <c r="BB4" s="738"/>
      <c r="BC4" s="738"/>
      <c r="BD4" s="738"/>
      <c r="BE4" s="738"/>
    </row>
    <row r="5" spans="2:57" ht="15.75" thickBot="1" x14ac:dyDescent="0.25">
      <c r="B5" s="241"/>
      <c r="C5" s="325" t="str">
        <f>'Ausgabe Standortbewertung'!B19</f>
        <v>Technisch</v>
      </c>
      <c r="D5" s="173" t="str">
        <f>'Ausgabe Standortbewertung'!C19</f>
        <v>Chemisch</v>
      </c>
      <c r="E5" s="225" t="str">
        <f>'Ausgabe Standortbewertung'!D19</f>
        <v>Biologisch</v>
      </c>
      <c r="F5" s="201" t="str">
        <f>'Ausgabe Standortbewertung'!E19</f>
        <v>Toxisch</v>
      </c>
      <c r="G5" s="226" t="str">
        <f>'Ausgabe Standortbewertung'!F19</f>
        <v>Wirtschaftlich</v>
      </c>
      <c r="H5" s="241"/>
      <c r="I5" s="329" t="str">
        <f>'Strömung-Temp-Fouling'!A4</f>
        <v>Eingabe</v>
      </c>
      <c r="J5" s="73">
        <f>'Strömung-Temp-Fouling'!B4</f>
        <v>12.2</v>
      </c>
      <c r="K5" s="73">
        <f>'Strömung-Temp-Fouling'!C4</f>
        <v>5.9999999999999991</v>
      </c>
      <c r="L5" s="73">
        <f>'Strömung-Temp-Fouling'!D4</f>
        <v>17.2</v>
      </c>
      <c r="M5" s="329">
        <f>'Strömung-Temp-Fouling'!E4</f>
        <v>0</v>
      </c>
      <c r="N5" s="74">
        <f>'Strömung-Temp-Fouling'!F4</f>
        <v>10.500672043010752</v>
      </c>
      <c r="AK5" t="s">
        <v>14</v>
      </c>
      <c r="AL5" s="739">
        <v>1</v>
      </c>
      <c r="AM5" s="739"/>
      <c r="AN5" s="739"/>
      <c r="AO5" s="739"/>
      <c r="AP5" s="739"/>
      <c r="AQ5" s="739"/>
      <c r="AR5" s="241"/>
      <c r="AS5" s="739">
        <v>2</v>
      </c>
      <c r="AT5" s="739"/>
      <c r="AU5" s="739"/>
      <c r="AV5" s="739"/>
      <c r="AW5" s="739"/>
      <c r="AX5" s="739"/>
      <c r="AY5" s="241"/>
      <c r="AZ5" s="739">
        <v>1</v>
      </c>
      <c r="BA5" s="739"/>
      <c r="BB5" s="739"/>
      <c r="BC5" s="739"/>
      <c r="BD5" s="739"/>
      <c r="BE5" s="739"/>
    </row>
    <row r="6" spans="2:57" ht="13.5" thickBot="1" x14ac:dyDescent="0.25">
      <c r="B6" s="241"/>
      <c r="C6" s="737" t="str">
        <f>'Ausgabe Standortbewertung'!B20</f>
        <v>Absolute Bewertung:</v>
      </c>
      <c r="D6" s="737"/>
      <c r="E6" s="737"/>
      <c r="F6" s="737"/>
      <c r="G6" s="737"/>
      <c r="H6" s="241"/>
      <c r="I6" s="170" t="str">
        <f>'Strömung-Temp-Fouling'!A6</f>
        <v>Biofouling</v>
      </c>
      <c r="J6" s="170">
        <f>'Strömung-Temp-Fouling'!B6</f>
        <v>8</v>
      </c>
      <c r="K6" s="170">
        <f>'Strömung-Temp-Fouling'!C6</f>
        <v>7</v>
      </c>
      <c r="L6" s="170">
        <f>'Strömung-Temp-Fouling'!D6</f>
        <v>9</v>
      </c>
      <c r="M6" s="170"/>
      <c r="N6" s="170">
        <f>'Strömung-Temp-Fouling'!F6</f>
        <v>0</v>
      </c>
      <c r="O6">
        <f>AVERAGE(J6:L6)+N6</f>
        <v>8</v>
      </c>
      <c r="P6" s="222">
        <f>O6/O10</f>
        <v>0.36363636363636365</v>
      </c>
      <c r="Q6" s="222"/>
      <c r="R6" s="222"/>
      <c r="S6" s="222"/>
      <c r="T6" s="222"/>
      <c r="U6" s="222"/>
      <c r="V6" s="222"/>
      <c r="W6" s="222"/>
      <c r="X6" s="222"/>
      <c r="Y6" s="222"/>
      <c r="Z6" s="222"/>
      <c r="AA6" s="222"/>
      <c r="AB6" s="222"/>
      <c r="AC6" s="222"/>
      <c r="AD6" s="222"/>
      <c r="AE6" s="222"/>
      <c r="AF6" s="222"/>
      <c r="AG6" s="222"/>
      <c r="AH6" s="222"/>
      <c r="AI6" s="222"/>
      <c r="AJ6" s="222"/>
      <c r="AK6" s="241"/>
      <c r="AL6" s="331" t="s">
        <v>568</v>
      </c>
      <c r="AM6" s="332" t="s">
        <v>569</v>
      </c>
      <c r="AN6" s="333" t="s">
        <v>570</v>
      </c>
      <c r="AO6" s="332" t="s">
        <v>571</v>
      </c>
      <c r="AP6" s="333" t="s">
        <v>572</v>
      </c>
      <c r="AQ6" s="334" t="s">
        <v>573</v>
      </c>
      <c r="AR6" s="332"/>
      <c r="AS6" s="331" t="s">
        <v>574</v>
      </c>
      <c r="AT6" s="335" t="s">
        <v>575</v>
      </c>
      <c r="AU6" s="333" t="s">
        <v>576</v>
      </c>
      <c r="AV6" s="333" t="s">
        <v>577</v>
      </c>
      <c r="AW6" s="333" t="s">
        <v>578</v>
      </c>
      <c r="AX6" s="334" t="s">
        <v>579</v>
      </c>
      <c r="AY6" s="332"/>
      <c r="AZ6" s="331" t="s">
        <v>580</v>
      </c>
      <c r="BA6" s="333" t="s">
        <v>581</v>
      </c>
      <c r="BB6" s="332" t="s">
        <v>582</v>
      </c>
      <c r="BC6" s="333" t="s">
        <v>583</v>
      </c>
      <c r="BD6" s="332" t="s">
        <v>584</v>
      </c>
      <c r="BE6" s="336" t="s">
        <v>585</v>
      </c>
    </row>
    <row r="7" spans="2:57" x14ac:dyDescent="0.2">
      <c r="B7" s="241"/>
      <c r="C7" s="243">
        <f>'Ausgabe Standortbewertung'!B21</f>
        <v>10.158730158730158</v>
      </c>
      <c r="D7" s="243">
        <f>'Ausgabe Standortbewertung'!C21</f>
        <v>22.854382727090744</v>
      </c>
      <c r="E7" s="243">
        <f>'Ausgabe Standortbewertung'!D21</f>
        <v>21.3266159130605</v>
      </c>
      <c r="F7" s="243">
        <f>'Ausgabe Standortbewertung'!E21</f>
        <v>29.95</v>
      </c>
      <c r="G7" s="243">
        <f>'Ausgabe Standortbewertung'!F21</f>
        <v>50.823717070886325</v>
      </c>
      <c r="H7" s="241"/>
      <c r="I7" s="170" t="str">
        <f>'Strömung-Temp-Fouling'!A7</f>
        <v>Kristallisationsfouling</v>
      </c>
      <c r="J7" s="170">
        <f>'Strömung-Temp-Fouling'!B7</f>
        <v>0</v>
      </c>
      <c r="K7" s="170">
        <f>'Strömung-Temp-Fouling'!C7</f>
        <v>0</v>
      </c>
      <c r="L7" s="170">
        <f>'Strömung-Temp-Fouling'!D7</f>
        <v>0</v>
      </c>
      <c r="M7" s="170"/>
      <c r="N7" s="170">
        <f>'Strömung-Temp-Fouling'!F7</f>
        <v>5</v>
      </c>
      <c r="O7" s="241">
        <f t="shared" ref="O7:O9" si="0">AVERAGE(J7:L7)+N7</f>
        <v>5</v>
      </c>
      <c r="P7" s="222">
        <f>O7/O10</f>
        <v>0.22727272727272727</v>
      </c>
      <c r="Q7" s="222"/>
      <c r="R7" s="222"/>
      <c r="S7" s="222"/>
      <c r="T7" s="222"/>
      <c r="U7" s="222"/>
      <c r="V7" s="222"/>
      <c r="W7" s="222"/>
      <c r="X7" s="222"/>
      <c r="Y7" s="222"/>
      <c r="Z7" s="222"/>
      <c r="AA7" s="222"/>
      <c r="AB7" s="222"/>
      <c r="AC7" s="222"/>
      <c r="AD7" s="222"/>
      <c r="AE7" s="222"/>
      <c r="AF7" s="222"/>
      <c r="AG7" s="222"/>
      <c r="AH7" s="222"/>
      <c r="AI7" s="222"/>
      <c r="AJ7" s="222"/>
      <c r="AK7" s="241" t="s">
        <v>586</v>
      </c>
      <c r="AL7">
        <v>-116.24729381443299</v>
      </c>
      <c r="AM7" s="241">
        <v>-92.46487867177521</v>
      </c>
      <c r="AN7" s="241">
        <v>-219.47303921568624</v>
      </c>
      <c r="AO7" s="241">
        <v>-162.92726679712985</v>
      </c>
      <c r="AP7" s="241">
        <v>-95.623776908023473</v>
      </c>
      <c r="AQ7" s="241">
        <v>-91.6666666666667</v>
      </c>
      <c r="AR7" s="241"/>
      <c r="AS7" s="241">
        <v>-144.07128099173553</v>
      </c>
      <c r="AT7" s="241">
        <v>-116.70829771064882</v>
      </c>
      <c r="AU7">
        <v>-178.15342631898119</v>
      </c>
      <c r="AV7">
        <v>-61.855670103092784</v>
      </c>
      <c r="AW7">
        <v>-188.89041095890411</v>
      </c>
      <c r="AX7">
        <v>-110.22219504240053</v>
      </c>
      <c r="AZ7">
        <v>-171.5</v>
      </c>
      <c r="BA7">
        <v>-138.85946673189824</v>
      </c>
      <c r="BB7">
        <v>-178.58823529411762</v>
      </c>
      <c r="BC7">
        <v>-99.045833333333348</v>
      </c>
      <c r="BD7">
        <v>-138.89634986225894</v>
      </c>
    </row>
    <row r="8" spans="2:57" x14ac:dyDescent="0.2">
      <c r="B8" s="241"/>
      <c r="C8" s="170" t="str">
        <f>'Ausgabe Standortbewertung'!B22</f>
        <v>von</v>
      </c>
      <c r="D8" s="170" t="str">
        <f>'Ausgabe Standortbewertung'!C22</f>
        <v>von</v>
      </c>
      <c r="E8" s="170" t="str">
        <f>'Ausgabe Standortbewertung'!D22</f>
        <v>von</v>
      </c>
      <c r="F8" s="170" t="str">
        <f>'Ausgabe Standortbewertung'!E22</f>
        <v>von</v>
      </c>
      <c r="G8" s="170" t="str">
        <f>'Ausgabe Standortbewertung'!F22</f>
        <v>von</v>
      </c>
      <c r="H8" s="241"/>
      <c r="I8" s="170" t="str">
        <f>'Strömung-Temp-Fouling'!A8</f>
        <v>Partikelfouling</v>
      </c>
      <c r="J8" s="170">
        <f>'Strömung-Temp-Fouling'!B8</f>
        <v>5</v>
      </c>
      <c r="K8" s="170">
        <f>'Strömung-Temp-Fouling'!C8</f>
        <v>5</v>
      </c>
      <c r="L8" s="170">
        <f>'Strömung-Temp-Fouling'!D8</f>
        <v>5</v>
      </c>
      <c r="M8" s="170"/>
      <c r="N8" s="170">
        <f>'Strömung-Temp-Fouling'!F8</f>
        <v>0</v>
      </c>
      <c r="O8" s="241">
        <f t="shared" si="0"/>
        <v>5</v>
      </c>
      <c r="P8" s="222">
        <f>O8/O10</f>
        <v>0.22727272727272727</v>
      </c>
      <c r="Q8" s="222"/>
      <c r="R8" s="222"/>
      <c r="S8" s="222"/>
      <c r="T8" s="222"/>
      <c r="U8" s="222"/>
      <c r="V8" s="222"/>
      <c r="W8" s="222"/>
      <c r="X8" s="222"/>
      <c r="Y8" s="222"/>
      <c r="Z8" s="222"/>
      <c r="AA8" s="222"/>
      <c r="AB8" s="222"/>
      <c r="AC8" s="222"/>
      <c r="AD8" s="222"/>
      <c r="AE8" s="222"/>
      <c r="AF8" s="222"/>
      <c r="AG8" s="222"/>
      <c r="AH8" s="222"/>
      <c r="AI8" s="222"/>
      <c r="AJ8" s="222"/>
      <c r="AK8" s="241" t="s">
        <v>500</v>
      </c>
      <c r="AL8">
        <v>-83.746556473829202</v>
      </c>
      <c r="AM8" s="241">
        <v>-94.444444444444443</v>
      </c>
      <c r="AN8" s="241">
        <v>-100</v>
      </c>
      <c r="AO8" s="241">
        <v>-89</v>
      </c>
      <c r="AP8" s="241">
        <v>-81</v>
      </c>
      <c r="AQ8" s="241">
        <v>-91.111111111111114</v>
      </c>
      <c r="AR8" s="241"/>
      <c r="AS8" s="241">
        <v>-100</v>
      </c>
      <c r="AT8" s="241">
        <v>-90</v>
      </c>
      <c r="AU8">
        <v>-95.294117647058812</v>
      </c>
      <c r="AV8">
        <v>-61.855670103092784</v>
      </c>
      <c r="AW8">
        <v>-70</v>
      </c>
      <c r="AX8">
        <v>-79</v>
      </c>
      <c r="AZ8">
        <v>-70</v>
      </c>
      <c r="BA8">
        <v>-98.888888888888886</v>
      </c>
      <c r="BB8">
        <v>-95.294117647058812</v>
      </c>
      <c r="BC8">
        <v>-100</v>
      </c>
      <c r="BD8">
        <v>-84.5</v>
      </c>
    </row>
    <row r="9" spans="2:57" x14ac:dyDescent="0.2">
      <c r="B9" s="241"/>
      <c r="C9" s="271">
        <f>'Ausgabe Standortbewertung'!B23</f>
        <v>20</v>
      </c>
      <c r="D9" s="271">
        <f>'Ausgabe Standortbewertung'!C23</f>
        <v>60</v>
      </c>
      <c r="E9" s="271">
        <f>'Ausgabe Standortbewertung'!D23</f>
        <v>90</v>
      </c>
      <c r="F9" s="271">
        <f>'Ausgabe Standortbewertung'!E23</f>
        <v>40</v>
      </c>
      <c r="G9" s="271">
        <f>'Ausgabe Standortbewertung'!F23</f>
        <v>70</v>
      </c>
      <c r="H9" s="241"/>
      <c r="I9" s="170" t="str">
        <f>'Strömung-Temp-Fouling'!A9</f>
        <v>Korrosionsfouling</v>
      </c>
      <c r="J9" s="170">
        <f>'Strömung-Temp-Fouling'!B9</f>
        <v>3</v>
      </c>
      <c r="K9" s="170">
        <f>'Strömung-Temp-Fouling'!C9</f>
        <v>3</v>
      </c>
      <c r="L9" s="170">
        <f>'Strömung-Temp-Fouling'!D9</f>
        <v>3</v>
      </c>
      <c r="M9" s="170"/>
      <c r="N9" s="170">
        <f>'Strömung-Temp-Fouling'!F9</f>
        <v>1</v>
      </c>
      <c r="O9" s="241">
        <f t="shared" si="0"/>
        <v>4</v>
      </c>
      <c r="P9" s="222">
        <f>O9/O10</f>
        <v>0.18181818181818182</v>
      </c>
      <c r="Q9" s="222"/>
      <c r="R9" s="222"/>
      <c r="S9" s="222"/>
      <c r="T9" s="222"/>
      <c r="U9" t="s">
        <v>932</v>
      </c>
      <c r="V9" s="222"/>
      <c r="W9" s="222"/>
      <c r="X9" s="222"/>
      <c r="Y9" s="222"/>
      <c r="Z9" s="222"/>
      <c r="AA9" s="222"/>
      <c r="AB9" s="222"/>
      <c r="AC9" s="222"/>
      <c r="AD9" s="222"/>
      <c r="AE9" s="222"/>
      <c r="AF9" s="222"/>
      <c r="AG9" s="222"/>
      <c r="AH9" s="222"/>
      <c r="AI9" s="222"/>
      <c r="AJ9" s="222"/>
      <c r="AK9" s="241" t="s">
        <v>587</v>
      </c>
      <c r="AL9">
        <v>-59.213917525773198</v>
      </c>
      <c r="AM9" s="241">
        <v>-56.296296296296291</v>
      </c>
      <c r="AN9" s="241">
        <v>-89.70588235294116</v>
      </c>
      <c r="AO9" s="241">
        <v>-75.333333333333343</v>
      </c>
      <c r="AP9" s="241">
        <v>-59.678082191780824</v>
      </c>
      <c r="AQ9" s="241">
        <v>-90.833333333333343</v>
      </c>
      <c r="AR9" s="241"/>
      <c r="AS9" s="241">
        <v>-73.078512396694208</v>
      </c>
      <c r="AT9" s="241">
        <v>-67.093663911845738</v>
      </c>
      <c r="AU9">
        <v>-93.529411764705884</v>
      </c>
      <c r="AV9">
        <v>-61.855670103092784</v>
      </c>
      <c r="AW9">
        <v>-38.356164383561648</v>
      </c>
      <c r="AX9">
        <v>-56.916666666666671</v>
      </c>
      <c r="AZ9">
        <v>-50</v>
      </c>
      <c r="BA9">
        <v>-74.125</v>
      </c>
      <c r="BB9">
        <v>-88.235294117647058</v>
      </c>
      <c r="BC9">
        <v>-52.333333333333336</v>
      </c>
      <c r="BD9">
        <v>-83.021349862258944</v>
      </c>
    </row>
    <row r="10" spans="2:57" x14ac:dyDescent="0.2">
      <c r="B10" s="241"/>
      <c r="C10" s="737" t="str">
        <f>'Ausgabe Standortbewertung'!B24</f>
        <v>Unsicherheit</v>
      </c>
      <c r="D10" s="737"/>
      <c r="E10" s="737"/>
      <c r="F10" s="737"/>
      <c r="G10" s="737"/>
      <c r="H10" s="241"/>
      <c r="N10">
        <f>SUM(N6:N9)</f>
        <v>6</v>
      </c>
      <c r="O10" s="241">
        <f>SUM(O6:O9)</f>
        <v>22</v>
      </c>
      <c r="U10" t="s">
        <v>933</v>
      </c>
      <c r="AK10" s="241" t="s">
        <v>588</v>
      </c>
      <c r="AL10">
        <v>-37.5</v>
      </c>
      <c r="AM10" s="241">
        <v>-40</v>
      </c>
      <c r="AN10" s="241">
        <v>-53.518518518518519</v>
      </c>
      <c r="AO10" s="241">
        <v>-60</v>
      </c>
      <c r="AP10" s="241">
        <v>-38.356164383561648</v>
      </c>
      <c r="AQ10" s="241">
        <v>-90.555555555555557</v>
      </c>
      <c r="AR10" s="241"/>
      <c r="AS10" s="241">
        <v>-40.277777777777786</v>
      </c>
      <c r="AT10" s="241">
        <v>-52</v>
      </c>
      <c r="AU10">
        <v>-88.823529411764696</v>
      </c>
      <c r="AV10">
        <v>-61.855670103092784</v>
      </c>
      <c r="AW10">
        <v>0</v>
      </c>
      <c r="AX10">
        <v>-36.666666666666664</v>
      </c>
      <c r="AZ10">
        <v>-33.07240704500979</v>
      </c>
      <c r="BA10">
        <v>-60.129629629629626</v>
      </c>
      <c r="BB10">
        <v>-52</v>
      </c>
      <c r="BC10">
        <v>-38.444444444444443</v>
      </c>
      <c r="BD10">
        <v>-81.542699724517902</v>
      </c>
    </row>
    <row r="11" spans="2:57" x14ac:dyDescent="0.2">
      <c r="B11" s="241" t="str">
        <f>'Ausgabe Standortbewertung'!A25</f>
        <v>Minimum</v>
      </c>
      <c r="C11" s="243">
        <f>'Ausgabe Standortbewertung'!B25</f>
        <v>8.1587301587301582</v>
      </c>
      <c r="D11" s="243">
        <f>'Ausgabe Standortbewertung'!C25</f>
        <v>16.970751645621057</v>
      </c>
      <c r="E11" s="243">
        <f>'Ausgabe Standortbewertung'!D25</f>
        <v>0</v>
      </c>
      <c r="F11" s="243">
        <f>'Ausgabe Standortbewertung'!E25</f>
        <v>9.5031428571428584</v>
      </c>
      <c r="G11" s="243">
        <f>'Ausgabe Standortbewertung'!F25</f>
        <v>52.385249771147585</v>
      </c>
      <c r="H11" s="241"/>
      <c r="L11" s="241"/>
      <c r="M11" s="204" t="str">
        <f>Eingabe!R47</f>
        <v>Energiepreis</v>
      </c>
      <c r="N11" s="204" t="str">
        <f>Eingabe!P43</f>
        <v>Strompreis</v>
      </c>
      <c r="O11" s="241"/>
      <c r="AK11" s="241" t="s">
        <v>589</v>
      </c>
      <c r="AL11">
        <v>-21.191666666666663</v>
      </c>
      <c r="AM11" s="241">
        <v>-32.183908045977006</v>
      </c>
      <c r="AN11" s="241">
        <v>-3.1944444444444446</v>
      </c>
      <c r="AO11" s="241">
        <v>-16.93737769080235</v>
      </c>
      <c r="AP11" s="241">
        <v>-35.714285714285722</v>
      </c>
      <c r="AQ11" s="241">
        <v>-90.277777777777771</v>
      </c>
      <c r="AR11" s="241"/>
      <c r="AS11" s="241">
        <v>-25.75</v>
      </c>
      <c r="AT11" s="241">
        <v>-34.017241379310349</v>
      </c>
      <c r="AU11">
        <v>-37.113402061855673</v>
      </c>
      <c r="AV11">
        <v>-61.855670103092784</v>
      </c>
      <c r="AW11">
        <v>62</v>
      </c>
      <c r="AX11">
        <v>-21.379647749510763</v>
      </c>
      <c r="AZ11">
        <v>31</v>
      </c>
      <c r="BA11">
        <v>-30.968688845401172</v>
      </c>
      <c r="BB11">
        <v>-28</v>
      </c>
      <c r="BC11">
        <v>-21.191666666666663</v>
      </c>
      <c r="BD11">
        <v>-45.771349862258951</v>
      </c>
    </row>
    <row r="12" spans="2:57" x14ac:dyDescent="0.2">
      <c r="B12" s="241" t="str">
        <f>'Ausgabe Standortbewertung'!A26</f>
        <v>Maximum</v>
      </c>
      <c r="C12" s="243">
        <f>'Ausgabe Standortbewertung'!B26</f>
        <v>12.158730158730158</v>
      </c>
      <c r="D12" s="243">
        <f>'Ausgabe Standortbewertung'!C26</f>
        <v>28.738013808560432</v>
      </c>
      <c r="E12" s="243">
        <f>'Ausgabe Standortbewertung'!D26</f>
        <v>51.486139722584305</v>
      </c>
      <c r="F12" s="243">
        <f>'Ausgabe Standortbewertung'!E26</f>
        <v>40</v>
      </c>
      <c r="G12" s="243">
        <f>'Ausgabe Standortbewertung'!F26</f>
        <v>55.928851037291736</v>
      </c>
      <c r="H12" s="241"/>
      <c r="L12" s="241"/>
      <c r="M12" s="356">
        <f>'Ausgabe Standortbewertung'!W37</f>
        <v>0.20100000000000001</v>
      </c>
      <c r="N12" s="356">
        <f>'Ausgabe Standortbewertung'!W38</f>
        <v>0.38095000000000001</v>
      </c>
      <c r="O12" s="241"/>
      <c r="AK12" s="241" t="s">
        <v>501</v>
      </c>
      <c r="AL12">
        <v>0</v>
      </c>
      <c r="AM12" s="241">
        <v>-4.0999999999999943</v>
      </c>
      <c r="AN12" s="241">
        <v>100</v>
      </c>
      <c r="AO12" s="241">
        <v>65</v>
      </c>
      <c r="AP12" s="241">
        <v>-33.07240704500979</v>
      </c>
      <c r="AQ12" s="241">
        <v>-90</v>
      </c>
      <c r="AR12" s="241"/>
      <c r="AS12" s="241">
        <v>0</v>
      </c>
      <c r="AT12" s="241">
        <v>-4.0999999999999943</v>
      </c>
      <c r="AU12">
        <v>100</v>
      </c>
      <c r="AV12">
        <v>-61.855670103092784</v>
      </c>
      <c r="AW12">
        <v>78</v>
      </c>
      <c r="AX12">
        <v>0</v>
      </c>
      <c r="AZ12">
        <v>65</v>
      </c>
      <c r="BA12">
        <v>0</v>
      </c>
      <c r="BB12">
        <v>78</v>
      </c>
      <c r="BC12">
        <v>100</v>
      </c>
      <c r="BD12">
        <v>-10</v>
      </c>
    </row>
    <row r="13" spans="2:57" x14ac:dyDescent="0.2">
      <c r="B13" s="241"/>
      <c r="C13" s="241"/>
      <c r="D13" s="241"/>
      <c r="E13" s="241"/>
      <c r="F13" s="241"/>
      <c r="G13" s="241"/>
      <c r="H13" s="241"/>
      <c r="I13" s="650" t="str">
        <f>'Ausgabe Standortbewertung'!B98</f>
        <v>Reduktion des Wärmestroms</v>
      </c>
      <c r="J13" s="650"/>
      <c r="K13" s="241"/>
      <c r="L13" s="210" t="str">
        <f>Eingabe!Q49</f>
        <v>Erdgas</v>
      </c>
      <c r="M13" s="245">
        <f>Eingabe!R49</f>
        <v>0.16700000000000001</v>
      </c>
      <c r="N13" s="245">
        <f>Eingabe!P49</f>
        <v>0.32</v>
      </c>
      <c r="O13" s="241"/>
      <c r="AK13" s="241" t="s">
        <v>586</v>
      </c>
      <c r="AL13">
        <v>35.841709621993139</v>
      </c>
      <c r="AM13" s="241">
        <v>3.9846743295019209</v>
      </c>
      <c r="AN13" s="241">
        <v>126.57271241830064</v>
      </c>
      <c r="AO13" s="241">
        <v>70.656555772994139</v>
      </c>
      <c r="AP13" s="241">
        <v>0.23140900195693348</v>
      </c>
      <c r="AQ13" s="241">
        <v>-89.444444444444414</v>
      </c>
      <c r="AR13" s="241"/>
      <c r="AS13" s="241">
        <v>45.242768595041312</v>
      </c>
      <c r="AT13" s="241">
        <v>15.597392419492735</v>
      </c>
      <c r="AU13">
        <v>47.510612492419646</v>
      </c>
      <c r="AV13">
        <v>-61.855670103092784</v>
      </c>
      <c r="AW13">
        <v>212.53424657534248</v>
      </c>
      <c r="AX13">
        <v>31.925880626223094</v>
      </c>
      <c r="AZ13">
        <v>152.5</v>
      </c>
      <c r="BA13">
        <v>33.765777886497062</v>
      </c>
      <c r="BB13">
        <v>62.35294117647058</v>
      </c>
      <c r="BC13">
        <v>25.520833333333343</v>
      </c>
      <c r="BD13">
        <v>10.103650137741035</v>
      </c>
    </row>
    <row r="14" spans="2:57" x14ac:dyDescent="0.2">
      <c r="B14" s="241"/>
      <c r="C14" s="737" t="str">
        <f>'Ausgabe Standortbewertung'!B28</f>
        <v>Relative Bewertung</v>
      </c>
      <c r="D14" s="737"/>
      <c r="E14" s="737"/>
      <c r="F14" s="737"/>
      <c r="G14" s="737"/>
      <c r="H14" s="241"/>
      <c r="I14" s="170" t="s">
        <v>472</v>
      </c>
      <c r="J14" s="247">
        <f>'Ausgabe Standortbewertung'!L97</f>
        <v>-0.22302412249690876</v>
      </c>
      <c r="K14" s="241"/>
      <c r="L14" s="662" t="s">
        <v>945</v>
      </c>
      <c r="M14" s="662"/>
      <c r="N14" s="249">
        <f>'Ausgabe Standortbewertung'!F38</f>
        <v>4</v>
      </c>
      <c r="O14" s="241"/>
      <c r="AK14" s="241"/>
      <c r="AM14" s="241"/>
      <c r="AN14" s="241"/>
      <c r="AO14" s="241"/>
      <c r="AP14" s="241"/>
      <c r="AQ14" s="241"/>
      <c r="AR14" s="241"/>
      <c r="AS14" s="241"/>
      <c r="AT14" s="241"/>
    </row>
    <row r="15" spans="2:57" x14ac:dyDescent="0.2">
      <c r="B15" s="241"/>
      <c r="C15" s="288">
        <f>'Ausgabe Standortbewertung'!B29</f>
        <v>0.50793650793650791</v>
      </c>
      <c r="D15" s="288">
        <f>'Ausgabe Standortbewertung'!C29</f>
        <v>0.38090637878484573</v>
      </c>
      <c r="E15" s="288">
        <f>'Ausgabe Standortbewertung'!D29</f>
        <v>0.23696239903400557</v>
      </c>
      <c r="F15" s="288">
        <f>'Ausgabe Standortbewertung'!E29</f>
        <v>0.74875000000000003</v>
      </c>
      <c r="G15" s="242">
        <f>'Ausgabe Standortbewertung'!F29</f>
        <v>0.72605310101266174</v>
      </c>
      <c r="H15" s="241"/>
      <c r="I15" s="170" t="str">
        <f>'Ausgabe Standortbewertung'!B99</f>
        <v>um</v>
      </c>
      <c r="J15" s="247">
        <f>'Ausgabe Standortbewertung'!C99</f>
        <v>-0.52106659258668764</v>
      </c>
      <c r="K15" s="104"/>
      <c r="L15" s="662" t="s">
        <v>946</v>
      </c>
      <c r="M15" s="662"/>
      <c r="N15" s="245">
        <f>N13/N14</f>
        <v>0.08</v>
      </c>
      <c r="O15" s="356">
        <f>'Ausgabe Standortbewertung'!$W$38/'Berechnung-WÜ-Material'!N14</f>
        <v>9.5237500000000003E-2</v>
      </c>
      <c r="P15" s="363"/>
      <c r="Q15" s="363"/>
      <c r="R15" s="363"/>
      <c r="S15" s="363"/>
      <c r="T15" s="363"/>
      <c r="U15" s="363"/>
      <c r="V15" s="363"/>
      <c r="W15" s="363"/>
      <c r="X15" s="363"/>
      <c r="Y15" s="363"/>
      <c r="Z15" s="363"/>
      <c r="AA15" s="363"/>
      <c r="AB15" s="363"/>
      <c r="AC15" s="363"/>
      <c r="AD15" s="363"/>
      <c r="AE15" s="363"/>
      <c r="AF15" s="363"/>
      <c r="AG15" s="363"/>
      <c r="AH15" s="363"/>
      <c r="AI15" s="363"/>
      <c r="AJ15" s="363"/>
      <c r="AK15" s="241"/>
      <c r="AL15" s="241" t="s">
        <v>590</v>
      </c>
      <c r="AM15" s="241"/>
      <c r="AN15" s="241"/>
      <c r="AO15" s="241"/>
      <c r="AP15" s="241" t="s">
        <v>1018</v>
      </c>
      <c r="AQ15" s="241"/>
      <c r="AR15" s="241"/>
      <c r="AS15" s="241" t="s">
        <v>590</v>
      </c>
      <c r="AT15" s="241"/>
      <c r="AU15" s="241"/>
      <c r="AV15" s="241"/>
      <c r="AW15" s="241" t="s">
        <v>1018</v>
      </c>
      <c r="AX15" s="241"/>
      <c r="AY15" s="241"/>
      <c r="AZ15" s="241" t="s">
        <v>590</v>
      </c>
      <c r="BA15" s="241"/>
      <c r="BB15" s="241"/>
      <c r="BC15" s="241"/>
      <c r="BD15" s="241" t="s">
        <v>1018</v>
      </c>
      <c r="BE15" s="241"/>
    </row>
    <row r="16" spans="2:57" x14ac:dyDescent="0.2">
      <c r="B16" s="241"/>
      <c r="C16" s="737" t="str">
        <f>'Ausgabe Standortbewertung'!B30</f>
        <v>Unsicherheit</v>
      </c>
      <c r="D16" s="737"/>
      <c r="E16" s="737"/>
      <c r="F16" s="737"/>
      <c r="G16" s="737"/>
      <c r="H16" s="241"/>
      <c r="I16" s="170" t="str">
        <f>'Ausgabe Standortbewertung'!B100</f>
        <v>bis</v>
      </c>
      <c r="J16" s="247">
        <f>'Ausgabe Standortbewertung'!C100</f>
        <v>-0.69227189717623527</v>
      </c>
      <c r="K16" s="241"/>
      <c r="L16" s="662" t="s">
        <v>947</v>
      </c>
      <c r="M16" s="662"/>
      <c r="N16" s="245">
        <f>IF('Ausgabe Standortbewertung'!J32=TRUE,'Berechnung-WÜ-Material'!N13/'Ausgabe Standortbewertung'!F40,'Berechnung-WÜ-Material'!N13/'Ausgabe Standortbewertung'!Z33)</f>
        <v>4.5714285714285714E-2</v>
      </c>
      <c r="O16" s="356">
        <f>IF('Ausgabe Standortbewertung'!J32=TRUE,'Ausgabe Standortbewertung'!W38/'Ausgabe Standortbewertung'!F40,'Ausgabe Standortbewertung'!W38/'Ausgabe Standortbewertung'!Z33)</f>
        <v>5.4421428571428572E-2</v>
      </c>
      <c r="P16" s="363"/>
      <c r="Q16" s="363"/>
      <c r="R16" s="363"/>
      <c r="S16" s="363"/>
      <c r="T16" s="363"/>
      <c r="U16" s="363"/>
      <c r="V16" s="363"/>
      <c r="W16" s="363"/>
      <c r="X16" s="363"/>
      <c r="Y16" s="363"/>
      <c r="Z16" s="363"/>
      <c r="AA16" s="363"/>
      <c r="AB16" s="363"/>
      <c r="AC16" s="363"/>
      <c r="AD16" s="363"/>
      <c r="AE16" s="363"/>
      <c r="AF16" s="363"/>
      <c r="AG16" s="363"/>
      <c r="AH16" s="363"/>
      <c r="AI16" s="363"/>
      <c r="AJ16" s="363"/>
      <c r="AK16" s="241"/>
      <c r="AL16" s="241"/>
      <c r="AM16" s="241" t="s">
        <v>591</v>
      </c>
      <c r="AN16" s="241" t="s">
        <v>592</v>
      </c>
      <c r="AO16" s="241"/>
      <c r="AP16" s="241" t="s">
        <v>1020</v>
      </c>
      <c r="AQ16" s="241" t="s">
        <v>1021</v>
      </c>
      <c r="AR16" s="241"/>
      <c r="AS16" s="241"/>
      <c r="AT16" s="241" t="s">
        <v>591</v>
      </c>
      <c r="AU16" s="241" t="s">
        <v>592</v>
      </c>
      <c r="AV16" s="241"/>
      <c r="AW16" s="241" t="s">
        <v>1020</v>
      </c>
      <c r="AX16" s="241" t="s">
        <v>1021</v>
      </c>
      <c r="AY16" s="241"/>
      <c r="AZ16" s="241"/>
      <c r="BA16" s="241" t="s">
        <v>591</v>
      </c>
      <c r="BB16" s="241" t="s">
        <v>592</v>
      </c>
      <c r="BC16" s="241"/>
      <c r="BD16" s="241" t="s">
        <v>1020</v>
      </c>
      <c r="BE16" s="241" t="s">
        <v>1021</v>
      </c>
    </row>
    <row r="17" spans="2:57" x14ac:dyDescent="0.2">
      <c r="B17" s="241" t="str">
        <f>'Ausgabe Standortbewertung'!A31</f>
        <v>Minimum</v>
      </c>
      <c r="C17" s="272">
        <f>'Ausgabe Standortbewertung'!B31</f>
        <v>0.40793650793650793</v>
      </c>
      <c r="D17" s="272">
        <f>'Ausgabe Standortbewertung'!C31</f>
        <v>0.28284586076035095</v>
      </c>
      <c r="E17" s="272">
        <f>'Ausgabe Standortbewertung'!D31</f>
        <v>0</v>
      </c>
      <c r="F17" s="272">
        <f>'Ausgabe Standortbewertung'!E31</f>
        <v>0.23757857142857147</v>
      </c>
      <c r="G17" s="272">
        <f>'Ausgabe Standortbewertung'!F31</f>
        <v>0.74836071101639412</v>
      </c>
      <c r="H17" s="241"/>
      <c r="J17" s="241" t="s">
        <v>937</v>
      </c>
      <c r="AK17" s="241"/>
      <c r="AL17" s="241" t="s">
        <v>568</v>
      </c>
      <c r="AM17" s="241">
        <v>20</v>
      </c>
      <c r="AN17" s="241">
        <v>51.725000000000001</v>
      </c>
      <c r="AO17" s="241"/>
      <c r="AP17" t="s">
        <v>507</v>
      </c>
      <c r="AQ17" t="s">
        <v>1017</v>
      </c>
      <c r="AR17" s="241"/>
      <c r="AS17" s="241" t="s">
        <v>574</v>
      </c>
      <c r="AT17" s="241">
        <v>30</v>
      </c>
      <c r="AU17" s="241">
        <v>44.566699999999997</v>
      </c>
      <c r="AV17" s="241"/>
      <c r="AW17" s="241" t="s">
        <v>507</v>
      </c>
      <c r="AX17" s="241" t="s">
        <v>1017</v>
      </c>
      <c r="AY17" s="241"/>
      <c r="AZ17" s="241" t="s">
        <v>580</v>
      </c>
      <c r="BA17" s="241">
        <v>7</v>
      </c>
      <c r="BB17" s="241">
        <v>61.428600000000003</v>
      </c>
      <c r="BC17" s="241"/>
      <c r="BD17" s="241" t="s">
        <v>507</v>
      </c>
      <c r="BE17" s="241" t="s">
        <v>1017</v>
      </c>
    </row>
    <row r="18" spans="2:57" x14ac:dyDescent="0.2">
      <c r="B18" s="241" t="str">
        <f>'Ausgabe Standortbewertung'!A32</f>
        <v>Maximum</v>
      </c>
      <c r="C18" s="272">
        <f>'Ausgabe Standortbewertung'!B32</f>
        <v>0.60793650793650789</v>
      </c>
      <c r="D18" s="272">
        <f>'Ausgabe Standortbewertung'!C32</f>
        <v>0.47896689680934051</v>
      </c>
      <c r="E18" s="272">
        <f>'Ausgabe Standortbewertung'!D32</f>
        <v>0.57206821913982564</v>
      </c>
      <c r="F18" s="272">
        <f>'Ausgabe Standortbewertung'!E32</f>
        <v>1</v>
      </c>
      <c r="G18" s="272">
        <f>'Ausgabe Standortbewertung'!F32</f>
        <v>0.79898358624702481</v>
      </c>
      <c r="H18" s="241"/>
      <c r="AK18" s="241"/>
      <c r="AL18" s="241" t="s">
        <v>569</v>
      </c>
      <c r="AM18" s="241">
        <v>27</v>
      </c>
      <c r="AN18" s="241">
        <v>47.833300000000001</v>
      </c>
      <c r="AO18" s="241" t="s">
        <v>587</v>
      </c>
      <c r="AP18" s="241">
        <f>MIN(AL9:AQ9)</f>
        <v>-90.833333333333343</v>
      </c>
      <c r="AQ18" s="241">
        <f>MAX(AL9:AQ9)</f>
        <v>-56.296296296296291</v>
      </c>
      <c r="AR18" s="241"/>
      <c r="AS18" s="241" t="s">
        <v>575</v>
      </c>
      <c r="AT18" s="241">
        <v>27</v>
      </c>
      <c r="AU18" s="241">
        <v>42.574100000000001</v>
      </c>
      <c r="AV18" s="241" t="s">
        <v>587</v>
      </c>
      <c r="AW18" s="241">
        <f>MIN(AS9:AX9)</f>
        <v>-93.529411764705884</v>
      </c>
      <c r="AX18" s="241">
        <f>MAX(AS9:AX9)</f>
        <v>-38.356164383561648</v>
      </c>
      <c r="AY18" s="241"/>
      <c r="AZ18" s="241" t="s">
        <v>581</v>
      </c>
      <c r="BA18" s="241">
        <v>24</v>
      </c>
      <c r="BB18" s="241">
        <v>40.5</v>
      </c>
      <c r="BC18" s="241" t="s">
        <v>587</v>
      </c>
      <c r="BD18" s="241">
        <f>MIN(AZ9:BE9)</f>
        <v>-88.235294117647058</v>
      </c>
      <c r="BE18" s="241">
        <f>MAX(AZ9:BE9)</f>
        <v>-50</v>
      </c>
    </row>
    <row r="19" spans="2:57" x14ac:dyDescent="0.2">
      <c r="B19" s="241"/>
      <c r="C19" s="241"/>
      <c r="D19" s="241"/>
      <c r="E19" s="241"/>
      <c r="F19" s="241"/>
      <c r="G19" s="241"/>
      <c r="H19" s="241"/>
      <c r="AK19" s="241"/>
      <c r="AL19" s="241" t="s">
        <v>570</v>
      </c>
      <c r="AM19" s="241">
        <v>28</v>
      </c>
      <c r="AN19" s="241">
        <v>43.464300000000001</v>
      </c>
      <c r="AO19" s="241" t="s">
        <v>588</v>
      </c>
      <c r="AP19" s="241">
        <f t="shared" ref="AP19:AP20" si="1">MIN(AL10:AQ10)</f>
        <v>-90.555555555555557</v>
      </c>
      <c r="AQ19" s="241">
        <f t="shared" ref="AQ19:AQ20" si="2">MAX(AL10:AQ10)</f>
        <v>-37.5</v>
      </c>
      <c r="AR19" s="241"/>
      <c r="AS19" s="241" t="s">
        <v>576</v>
      </c>
      <c r="AT19" s="241">
        <v>11</v>
      </c>
      <c r="AU19" s="241">
        <v>30.590900000000001</v>
      </c>
      <c r="AV19" s="241" t="s">
        <v>588</v>
      </c>
      <c r="AW19" s="241">
        <f t="shared" ref="AW19:AW20" si="3">MIN(AS10:AX10)</f>
        <v>-88.823529411764696</v>
      </c>
      <c r="AX19" s="241">
        <f t="shared" ref="AX19:AX20" si="4">MAX(AS10:AX10)</f>
        <v>0</v>
      </c>
      <c r="AY19" s="241"/>
      <c r="AZ19" s="241" t="s">
        <v>582</v>
      </c>
      <c r="BA19" s="241">
        <v>29</v>
      </c>
      <c r="BB19" s="241">
        <v>41.293100000000003</v>
      </c>
      <c r="BC19" s="241" t="s">
        <v>588</v>
      </c>
      <c r="BD19" s="241">
        <f t="shared" ref="BD19:BD20" si="5">MIN(AZ10:BE10)</f>
        <v>-81.542699724517902</v>
      </c>
      <c r="BE19" s="241">
        <f t="shared" ref="BE19:BE20" si="6">MAX(AZ10:BE10)</f>
        <v>-33.07240704500979</v>
      </c>
    </row>
    <row r="20" spans="2:57" x14ac:dyDescent="0.2">
      <c r="B20" s="241"/>
      <c r="C20" s="241"/>
      <c r="D20" s="241"/>
      <c r="E20" s="241"/>
      <c r="F20" s="241" t="s">
        <v>345</v>
      </c>
      <c r="G20" s="241" t="s">
        <v>564</v>
      </c>
      <c r="H20" s="241"/>
      <c r="AK20" s="241"/>
      <c r="AL20" s="241" t="s">
        <v>571</v>
      </c>
      <c r="AM20" s="241">
        <v>11</v>
      </c>
      <c r="AN20" s="241">
        <v>44.818199999999997</v>
      </c>
      <c r="AO20" s="241" t="s">
        <v>589</v>
      </c>
      <c r="AP20" s="241">
        <f t="shared" si="1"/>
        <v>-90.277777777777771</v>
      </c>
      <c r="AQ20" s="241">
        <f t="shared" si="2"/>
        <v>-3.1944444444444446</v>
      </c>
      <c r="AR20" s="241"/>
      <c r="AS20" s="241" t="s">
        <v>577</v>
      </c>
      <c r="AT20" s="241">
        <v>1</v>
      </c>
      <c r="AU20" s="241">
        <v>31</v>
      </c>
      <c r="AV20" s="241" t="s">
        <v>589</v>
      </c>
      <c r="AW20" s="241">
        <f t="shared" si="3"/>
        <v>-61.855670103092784</v>
      </c>
      <c r="AX20" s="241">
        <f t="shared" si="4"/>
        <v>62</v>
      </c>
      <c r="AY20" s="241"/>
      <c r="AZ20" s="241" t="s">
        <v>583</v>
      </c>
      <c r="BA20" s="241">
        <v>28</v>
      </c>
      <c r="BB20" s="241">
        <v>52.928600000000003</v>
      </c>
      <c r="BC20" s="241" t="s">
        <v>589</v>
      </c>
      <c r="BD20" s="241">
        <f t="shared" si="5"/>
        <v>-45.771349862258951</v>
      </c>
      <c r="BE20" s="241">
        <f t="shared" si="6"/>
        <v>31</v>
      </c>
    </row>
    <row r="21" spans="2:57" x14ac:dyDescent="0.2">
      <c r="B21" s="241"/>
      <c r="C21" s="314"/>
      <c r="D21" s="314">
        <f t="shared" ref="D21:E21" si="7">1-D15</f>
        <v>0.61909362121515432</v>
      </c>
      <c r="E21" s="314">
        <f t="shared" si="7"/>
        <v>0.76303760096599449</v>
      </c>
      <c r="F21" s="241"/>
      <c r="G21" s="241"/>
      <c r="H21" s="241"/>
      <c r="P21" s="104"/>
      <c r="Q21" s="104"/>
      <c r="R21" s="104"/>
      <c r="S21" s="104"/>
      <c r="T21" s="104"/>
      <c r="U21" s="104"/>
      <c r="V21" s="104"/>
      <c r="W21" s="104"/>
      <c r="X21" s="104"/>
      <c r="Y21" s="104"/>
      <c r="Z21" s="104"/>
      <c r="AA21" s="104"/>
      <c r="AB21" s="104"/>
      <c r="AC21" s="104"/>
      <c r="AD21" s="104"/>
      <c r="AE21" s="104"/>
      <c r="AF21" s="104"/>
      <c r="AG21" s="104"/>
      <c r="AH21" s="104"/>
      <c r="AI21" s="104"/>
      <c r="AJ21" s="104"/>
      <c r="AK21" s="241"/>
      <c r="AL21" s="241" t="s">
        <v>572</v>
      </c>
      <c r="AM21" s="241">
        <v>3</v>
      </c>
      <c r="AN21" s="241">
        <v>43.666699999999999</v>
      </c>
      <c r="AO21" s="241" t="s">
        <v>1019</v>
      </c>
      <c r="AP21" s="241">
        <f>(1-6)/(AP18-AQ18)</f>
        <v>0.14477211796246642</v>
      </c>
      <c r="AQ21" s="241">
        <f>1-AP21*AP18</f>
        <v>14.150134048257367</v>
      </c>
      <c r="AR21" s="241"/>
      <c r="AS21" s="241" t="s">
        <v>578</v>
      </c>
      <c r="AT21" s="241">
        <v>9</v>
      </c>
      <c r="AU21" s="241">
        <v>69.055599999999998</v>
      </c>
      <c r="AV21" s="241" t="s">
        <v>1019</v>
      </c>
      <c r="AW21" s="241">
        <f>(1-6)/(AW18-AX18)</f>
        <v>9.0623630787206075E-2</v>
      </c>
      <c r="AX21" s="241">
        <f>1-AW21*AW18</f>
        <v>9.4759748795092751</v>
      </c>
      <c r="AY21" s="241"/>
      <c r="AZ21" s="241" t="s">
        <v>584</v>
      </c>
      <c r="BA21" s="241">
        <v>3</v>
      </c>
      <c r="BB21" s="241">
        <v>34.833300000000001</v>
      </c>
      <c r="BC21" s="241" t="s">
        <v>1019</v>
      </c>
      <c r="BD21" s="241">
        <f>(1-6)/(BD18-BE18)</f>
        <v>0.13076923076923078</v>
      </c>
      <c r="BE21" s="241">
        <f>1-BD21*BD18</f>
        <v>12.538461538461538</v>
      </c>
    </row>
    <row r="22" spans="2:57" x14ac:dyDescent="0.2">
      <c r="B22" s="241" t="s">
        <v>33</v>
      </c>
      <c r="C22" s="314"/>
      <c r="D22" s="241"/>
      <c r="E22" s="314">
        <f>E21</f>
        <v>0.76303760096599449</v>
      </c>
      <c r="F22" s="82">
        <f>SUM(C22:E22)</f>
        <v>0.76303760096599449</v>
      </c>
      <c r="G22" s="83">
        <f>F22/$F$25</f>
        <v>0.55207319588789894</v>
      </c>
      <c r="H22" s="241">
        <f>(1-E7/E9)/((1-E7/E9)+(1-D7/D9))</f>
        <v>0.55207319588789894</v>
      </c>
      <c r="AK22" s="241"/>
      <c r="AL22" s="241" t="s">
        <v>573</v>
      </c>
      <c r="AM22" s="241">
        <v>2</v>
      </c>
      <c r="AN22" s="241">
        <v>9.5</v>
      </c>
      <c r="AO22" s="241" t="s">
        <v>1022</v>
      </c>
      <c r="AP22" s="241">
        <f t="shared" ref="AP22:AP23" si="8">(1-6)/(AP19-AQ19)</f>
        <v>9.4240837696335081E-2</v>
      </c>
      <c r="AQ22" s="241">
        <f t="shared" ref="AQ22:AQ23" si="9">1-AP22*AP19</f>
        <v>9.5340314136125652</v>
      </c>
      <c r="AR22" s="241"/>
      <c r="AS22" s="241" t="s">
        <v>579</v>
      </c>
      <c r="AT22" s="241">
        <v>12</v>
      </c>
      <c r="AU22" s="241">
        <v>51.625</v>
      </c>
      <c r="AV22" s="241" t="s">
        <v>1022</v>
      </c>
      <c r="AW22" s="241">
        <f t="shared" ref="AW22:AW23" si="10">(1-6)/(AW19-AX19)</f>
        <v>5.6291390728476824E-2</v>
      </c>
      <c r="AX22" s="241">
        <f t="shared" ref="AX22:AX23" si="11">1-AW22*AW19</f>
        <v>6</v>
      </c>
      <c r="AY22" s="241"/>
      <c r="AZ22" s="241" t="s">
        <v>593</v>
      </c>
      <c r="BA22" s="241"/>
      <c r="BB22" s="241"/>
      <c r="BC22" s="241" t="s">
        <v>1022</v>
      </c>
      <c r="BD22" s="241">
        <f t="shared" ref="BD22:BD23" si="12">(1-6)/(BD19-BE19)</f>
        <v>0.10315596881291085</v>
      </c>
      <c r="BE22" s="241">
        <f t="shared" ref="BE22:BE23" si="13">1-BD22*BD19</f>
        <v>9.4116161897029222</v>
      </c>
    </row>
    <row r="23" spans="2:57" x14ac:dyDescent="0.2">
      <c r="B23" s="241" t="s">
        <v>35</v>
      </c>
      <c r="C23" s="314"/>
      <c r="D23" s="314">
        <f>D21/2</f>
        <v>0.30954681060757716</v>
      </c>
      <c r="E23" s="241"/>
      <c r="F23" s="82">
        <f t="shared" ref="F23:F24" si="14">SUM(C23:E23)</f>
        <v>0.30954681060757716</v>
      </c>
      <c r="G23" s="83">
        <f>F23/$F$25</f>
        <v>0.22396340205605056</v>
      </c>
      <c r="H23" s="241">
        <f>0.5*(1-D7/D9)/((1-E7/E9)+(1-D7/D9))</f>
        <v>0.22396340205605056</v>
      </c>
      <c r="AK23" s="241"/>
      <c r="AL23" s="241" t="s">
        <v>594</v>
      </c>
      <c r="AM23" s="241"/>
      <c r="AN23" s="241"/>
      <c r="AO23" s="241" t="s">
        <v>1023</v>
      </c>
      <c r="AP23" s="241">
        <f t="shared" si="8"/>
        <v>5.7416267942583733E-2</v>
      </c>
      <c r="AQ23" s="241">
        <f t="shared" si="9"/>
        <v>6.1834130781499201</v>
      </c>
      <c r="AR23" s="241"/>
      <c r="AS23" s="241" t="s">
        <v>595</v>
      </c>
      <c r="AT23" s="241"/>
      <c r="AU23" s="241"/>
      <c r="AV23" s="241" t="s">
        <v>1023</v>
      </c>
      <c r="AW23" s="241">
        <f t="shared" si="10"/>
        <v>4.0369568836357582E-2</v>
      </c>
      <c r="AX23" s="241">
        <f t="shared" si="11"/>
        <v>3.4970867321458297</v>
      </c>
      <c r="AY23" s="241"/>
      <c r="AZ23" s="241"/>
      <c r="BA23" s="241"/>
      <c r="BB23" s="241"/>
      <c r="BC23" s="241" t="s">
        <v>1023</v>
      </c>
      <c r="BD23" s="241">
        <f t="shared" si="12"/>
        <v>6.5128462752978331E-2</v>
      </c>
      <c r="BE23" s="241">
        <f t="shared" si="13"/>
        <v>3.9810176546576721</v>
      </c>
    </row>
    <row r="24" spans="2:57" x14ac:dyDescent="0.2">
      <c r="B24" s="241" t="s">
        <v>36</v>
      </c>
      <c r="C24" s="314"/>
      <c r="D24" s="314">
        <f>D21/2</f>
        <v>0.30954681060757716</v>
      </c>
      <c r="E24" s="241"/>
      <c r="F24" s="82">
        <f t="shared" si="14"/>
        <v>0.30954681060757716</v>
      </c>
      <c r="G24" s="83">
        <f>F24/$F$25</f>
        <v>0.22396340205605056</v>
      </c>
      <c r="H24" s="241">
        <f>0.5*(1-D7/D9)/((1-E7/E9)+(1-D7/D9))</f>
        <v>0.22396340205605056</v>
      </c>
      <c r="AK24" s="241"/>
    </row>
    <row r="25" spans="2:57" x14ac:dyDescent="0.2">
      <c r="F25" s="83">
        <f>SUM(F22:F24)</f>
        <v>1.3821312221811488</v>
      </c>
      <c r="AK25" s="241" t="s">
        <v>603</v>
      </c>
      <c r="AL25">
        <f>AP21*AL9+AQ21</f>
        <v>5.5776097951963717</v>
      </c>
      <c r="AM25" s="241">
        <f>AP21*AM9+AQ21</f>
        <v>6</v>
      </c>
      <c r="AN25" s="241">
        <f>AP21*AN9+AQ21</f>
        <v>1.1632234663302352</v>
      </c>
      <c r="AO25" s="241">
        <f>AP21*AO9+AQ21</f>
        <v>3.2439678284182296</v>
      </c>
      <c r="AP25" s="241">
        <f>AP21*AP9+AQ21</f>
        <v>5.5104116934151079</v>
      </c>
      <c r="AQ25" s="241">
        <f>AP21*AQ9+AQ21</f>
        <v>1</v>
      </c>
      <c r="AS25" s="241">
        <f>AW21*AS9+AX21</f>
        <v>2.8533347535929972</v>
      </c>
      <c r="AT25" s="241">
        <f>AW21*AT9+AX21</f>
        <v>3.3957034530012749</v>
      </c>
      <c r="AU25" s="241">
        <f>AW21*AU9+AX21</f>
        <v>1</v>
      </c>
      <c r="AV25" s="241">
        <f>AW21*AV9+AX21</f>
        <v>3.8703894699913732</v>
      </c>
      <c r="AW25" s="241">
        <f>AW21*AW9+AX21</f>
        <v>6</v>
      </c>
      <c r="AX25" s="241">
        <f>AW21*AX9+AX21</f>
        <v>4.3179798938707954</v>
      </c>
      <c r="AZ25" s="241">
        <f>BD21*AZ9+BE21</f>
        <v>5.9999999999999991</v>
      </c>
      <c r="BA25" s="241">
        <f>BD21*BA9+BE21</f>
        <v>2.8451923076923062</v>
      </c>
      <c r="BB25" s="241">
        <f>BD21*BB9+BE21</f>
        <v>1</v>
      </c>
      <c r="BC25" s="241">
        <f>BD21*BC9+BE21</f>
        <v>5.6948717948717942</v>
      </c>
      <c r="BD25" s="241">
        <f>BD21*BD9+BE21</f>
        <v>1.6818234795507525</v>
      </c>
      <c r="BE25" s="241"/>
    </row>
    <row r="26" spans="2:57" x14ac:dyDescent="0.2">
      <c r="AK26" s="241" t="s">
        <v>604</v>
      </c>
      <c r="AL26" s="241">
        <f t="shared" ref="AL26:AL27" si="15">AP22*AL10+AQ22</f>
        <v>6</v>
      </c>
      <c r="AM26" s="241">
        <f t="shared" ref="AM26:AM27" si="16">AP22*AM10+AQ22</f>
        <v>5.7643979057591626</v>
      </c>
      <c r="AN26" s="241">
        <f t="shared" ref="AN26:AN27" si="17">AP22*AN10+AQ22</f>
        <v>4.490401396160558</v>
      </c>
      <c r="AO26" s="241">
        <f t="shared" ref="AO26:AO27" si="18">AP22*AO10+AQ22</f>
        <v>3.8795811518324603</v>
      </c>
      <c r="AP26" s="241">
        <f t="shared" ref="AP26:AP27" si="19">AP22*AP10+AQ22</f>
        <v>5.9193143512873831</v>
      </c>
      <c r="AQ26" s="241">
        <f t="shared" ref="AQ26:AQ27" si="20">AP22*AQ10+AQ22</f>
        <v>1</v>
      </c>
      <c r="AS26" s="241">
        <f t="shared" ref="AS26:AS27" si="21">AW22*AS10+AX22</f>
        <v>3.7327078734363499</v>
      </c>
      <c r="AT26" s="241">
        <f t="shared" ref="AT26:AT27" si="22">AW22*AT10+AX22</f>
        <v>3.072847682119205</v>
      </c>
      <c r="AU26" s="241">
        <f t="shared" ref="AU26:AU27" si="23">AW22*AU10+AX22</f>
        <v>1</v>
      </c>
      <c r="AV26" s="241">
        <f t="shared" ref="AV26:AV27" si="24">AW22*AV10+AX22</f>
        <v>2.5180583054550416</v>
      </c>
      <c r="AW26" s="241">
        <f t="shared" ref="AW26:AW27" si="25">AW22*AW10+AX22</f>
        <v>6</v>
      </c>
      <c r="AX26" s="241">
        <f t="shared" ref="AX26:AX27" si="26">AW22*AX10+AX22</f>
        <v>3.9359823399558498</v>
      </c>
      <c r="AZ26" s="241">
        <f t="shared" ref="AZ26:AZ27" si="27">BD22*AZ10+BE22</f>
        <v>5.9999999999999991</v>
      </c>
      <c r="BA26" s="241">
        <f t="shared" ref="BA26:BA27" si="28">BD22*BA10+BE22</f>
        <v>3.2088859908969685</v>
      </c>
      <c r="BB26" s="241">
        <f t="shared" ref="BB26:BB27" si="29">BD22*BB10+BE22</f>
        <v>4.0475058114315576</v>
      </c>
      <c r="BC26" s="241">
        <f t="shared" ref="BC26:BC27" si="30">BD22*BC10+BE22</f>
        <v>5.4458422775621269</v>
      </c>
      <c r="BD26" s="241">
        <f t="shared" ref="BD26:BD27" si="31">BD22*BD10+BE22</f>
        <v>1</v>
      </c>
      <c r="BE26" s="241"/>
    </row>
    <row r="27" spans="2:57" x14ac:dyDescent="0.2">
      <c r="B27" s="344" t="s">
        <v>928</v>
      </c>
      <c r="AK27" t="s">
        <v>605</v>
      </c>
      <c r="AL27" s="241">
        <f t="shared" si="15"/>
        <v>4.9666666666666668</v>
      </c>
      <c r="AM27" s="241">
        <f t="shared" si="16"/>
        <v>4.3355331903426277</v>
      </c>
      <c r="AN27" s="241">
        <f t="shared" si="17"/>
        <v>6</v>
      </c>
      <c r="AO27" s="241">
        <f t="shared" si="18"/>
        <v>5.2109320624100723</v>
      </c>
      <c r="AP27" s="241">
        <f t="shared" si="19"/>
        <v>4.132832080200501</v>
      </c>
      <c r="AQ27" s="241">
        <f t="shared" si="20"/>
        <v>1</v>
      </c>
      <c r="AS27" s="241">
        <f t="shared" si="21"/>
        <v>2.4575703346096218</v>
      </c>
      <c r="AT27" s="241">
        <f t="shared" si="22"/>
        <v>2.1238253646607692</v>
      </c>
      <c r="AU27" s="241">
        <f t="shared" si="23"/>
        <v>1.9988346928583316</v>
      </c>
      <c r="AV27" s="241">
        <f t="shared" si="24"/>
        <v>1</v>
      </c>
      <c r="AW27" s="241">
        <f t="shared" si="25"/>
        <v>6</v>
      </c>
      <c r="AX27" s="241">
        <f t="shared" si="26"/>
        <v>2.6339995706248773</v>
      </c>
      <c r="AZ27" s="241">
        <f t="shared" si="27"/>
        <v>6</v>
      </c>
      <c r="BA27" s="241">
        <f t="shared" si="28"/>
        <v>1.9640745566813864</v>
      </c>
      <c r="BB27" s="241">
        <f t="shared" si="29"/>
        <v>2.1574206975742789</v>
      </c>
      <c r="BC27" s="241">
        <f t="shared" si="30"/>
        <v>2.6008369814841399</v>
      </c>
      <c r="BD27" s="241">
        <f t="shared" si="31"/>
        <v>1</v>
      </c>
      <c r="BE27" s="241"/>
    </row>
    <row r="28" spans="2:57" x14ac:dyDescent="0.2">
      <c r="B28" s="90" t="s">
        <v>923</v>
      </c>
      <c r="C28" s="90" t="str">
        <f>AL113</f>
        <v>&gt;140</v>
      </c>
      <c r="D28" s="90" t="s">
        <v>924</v>
      </c>
      <c r="AK28" t="s">
        <v>606</v>
      </c>
      <c r="AL28">
        <f>SUM(AL25:AL27)/3</f>
        <v>5.5147588206210125</v>
      </c>
      <c r="AM28" s="241">
        <f t="shared" ref="AM28:AQ28" si="32">SUM(AM25:AM27)/3</f>
        <v>5.3666436987005968</v>
      </c>
      <c r="AN28" s="241">
        <f t="shared" si="32"/>
        <v>3.8845416208302646</v>
      </c>
      <c r="AO28" s="241">
        <f t="shared" si="32"/>
        <v>4.1114936808869205</v>
      </c>
      <c r="AP28" s="241">
        <f t="shared" si="32"/>
        <v>5.187519374967664</v>
      </c>
      <c r="AQ28" s="241">
        <f t="shared" si="32"/>
        <v>1</v>
      </c>
      <c r="AS28" s="241">
        <f>SUM(AS25:AS27)/3</f>
        <v>3.0145376538796564</v>
      </c>
      <c r="AT28" s="241">
        <f t="shared" ref="AT28:AW28" si="33">SUM(AT25:AT27)/3</f>
        <v>2.8641254999270829</v>
      </c>
      <c r="AU28" s="241">
        <f t="shared" si="33"/>
        <v>1.3329448976194438</v>
      </c>
      <c r="AV28" s="241">
        <f t="shared" si="33"/>
        <v>2.4628159251488051</v>
      </c>
      <c r="AW28" s="241">
        <f t="shared" si="33"/>
        <v>6</v>
      </c>
      <c r="AX28" s="241">
        <f t="shared" ref="AX28" si="34">SUM(AX25:AX27)/3</f>
        <v>3.6293206014838404</v>
      </c>
      <c r="AZ28" s="241">
        <f>SUM(AZ25:AZ27)/3</f>
        <v>6</v>
      </c>
      <c r="BA28" s="241">
        <f t="shared" ref="BA28:BD28" si="35">SUM(BA25:BA27)/3</f>
        <v>2.6727176184235533</v>
      </c>
      <c r="BB28" s="241">
        <f t="shared" si="35"/>
        <v>2.4016421696686123</v>
      </c>
      <c r="BC28" s="241">
        <f t="shared" si="35"/>
        <v>4.5805170179726868</v>
      </c>
      <c r="BD28" s="241">
        <f t="shared" si="35"/>
        <v>1.2272744931835842</v>
      </c>
      <c r="BE28" s="241">
        <v>3.5</v>
      </c>
    </row>
    <row r="29" spans="2:57" x14ac:dyDescent="0.2">
      <c r="B29" s="90" t="s">
        <v>566</v>
      </c>
      <c r="C29" s="90" t="str">
        <f>AS113</f>
        <v>0,1-0,3</v>
      </c>
      <c r="D29" s="345" t="s">
        <v>925</v>
      </c>
      <c r="AQ29" s="241"/>
    </row>
    <row r="30" spans="2:57" x14ac:dyDescent="0.2">
      <c r="B30" s="90" t="s">
        <v>926</v>
      </c>
      <c r="C30" s="90" t="str">
        <f>AZ113</f>
        <v>60-75</v>
      </c>
      <c r="D30" s="90" t="s">
        <v>927</v>
      </c>
      <c r="AK30" t="s">
        <v>607</v>
      </c>
      <c r="AL30" s="241">
        <f t="shared" ref="AL30:AQ30" si="36">7-AL28</f>
        <v>1.4852411793789875</v>
      </c>
      <c r="AM30" s="241">
        <f t="shared" si="36"/>
        <v>1.6333563012994032</v>
      </c>
      <c r="AN30" s="241">
        <f t="shared" si="36"/>
        <v>3.1154583791697354</v>
      </c>
      <c r="AO30" s="241">
        <f t="shared" si="36"/>
        <v>2.8885063191130795</v>
      </c>
      <c r="AP30" s="241">
        <f t="shared" si="36"/>
        <v>1.812480625032336</v>
      </c>
      <c r="AQ30" s="241">
        <f t="shared" si="36"/>
        <v>6</v>
      </c>
      <c r="AS30" s="241">
        <f t="shared" ref="AS30:AW30" si="37">7-AS28</f>
        <v>3.9854623461203436</v>
      </c>
      <c r="AT30" s="241">
        <f t="shared" si="37"/>
        <v>4.1358745000729176</v>
      </c>
      <c r="AU30" s="241">
        <f t="shared" si="37"/>
        <v>5.667055102380556</v>
      </c>
      <c r="AV30" s="241">
        <f t="shared" si="37"/>
        <v>4.5371840748511953</v>
      </c>
      <c r="AW30" s="241">
        <f t="shared" si="37"/>
        <v>1</v>
      </c>
      <c r="AX30" s="241">
        <f>7-AX28</f>
        <v>3.3706793985161596</v>
      </c>
      <c r="AZ30" s="241">
        <f t="shared" ref="AZ30:BD30" si="38">7-AZ28</f>
        <v>1</v>
      </c>
      <c r="BA30" s="241">
        <f t="shared" si="38"/>
        <v>4.3272823815764472</v>
      </c>
      <c r="BB30" s="241">
        <f t="shared" si="38"/>
        <v>4.5983578303313877</v>
      </c>
      <c r="BC30" s="241">
        <f t="shared" si="38"/>
        <v>2.4194829820273132</v>
      </c>
      <c r="BD30" s="241">
        <f t="shared" si="38"/>
        <v>5.7727255068164158</v>
      </c>
      <c r="BE30" s="241">
        <f t="shared" ref="BE30" si="39">7-BE28</f>
        <v>3.5</v>
      </c>
    </row>
    <row r="31" spans="2:57" x14ac:dyDescent="0.2">
      <c r="AK31" t="s">
        <v>608</v>
      </c>
      <c r="AL31">
        <f>AL30*$AL$5</f>
        <v>1.4852411793789875</v>
      </c>
      <c r="AM31" s="241">
        <f t="shared" ref="AM31:AP31" si="40">AM30*$AL$5</f>
        <v>1.6333563012994032</v>
      </c>
      <c r="AN31" s="241">
        <f t="shared" si="40"/>
        <v>3.1154583791697354</v>
      </c>
      <c r="AO31" s="241">
        <f t="shared" si="40"/>
        <v>2.8885063191130795</v>
      </c>
      <c r="AP31" s="241">
        <f t="shared" si="40"/>
        <v>1.812480625032336</v>
      </c>
      <c r="AQ31" s="241">
        <f t="shared" ref="AQ31" si="41">AQ30*$AZ$5</f>
        <v>6</v>
      </c>
      <c r="AS31" s="241">
        <f>AS30*$AS$5</f>
        <v>7.9709246922406871</v>
      </c>
      <c r="AT31" s="241">
        <f t="shared" ref="AT31:AX31" si="42">AT30*$AS$5</f>
        <v>8.2717490001458351</v>
      </c>
      <c r="AU31" s="241">
        <f t="shared" si="42"/>
        <v>11.334110204761112</v>
      </c>
      <c r="AV31" s="241">
        <f t="shared" si="42"/>
        <v>9.0743681497023907</v>
      </c>
      <c r="AW31" s="241">
        <f t="shared" si="42"/>
        <v>2</v>
      </c>
      <c r="AX31" s="241">
        <f t="shared" si="42"/>
        <v>6.7413587970323192</v>
      </c>
      <c r="AZ31" s="241">
        <f>AZ30*$AZ$5</f>
        <v>1</v>
      </c>
      <c r="BA31" s="241">
        <f t="shared" ref="BA31:BE31" si="43">BA30*$AZ$5</f>
        <v>4.3272823815764472</v>
      </c>
      <c r="BB31" s="241">
        <f t="shared" si="43"/>
        <v>4.5983578303313877</v>
      </c>
      <c r="BC31" s="241">
        <f t="shared" si="43"/>
        <v>2.4194829820273132</v>
      </c>
      <c r="BD31" s="241">
        <f t="shared" si="43"/>
        <v>5.7727255068164158</v>
      </c>
      <c r="BE31" s="241">
        <f t="shared" si="43"/>
        <v>3.5</v>
      </c>
    </row>
    <row r="32" spans="2:57" x14ac:dyDescent="0.2">
      <c r="B32" s="344" t="s">
        <v>929</v>
      </c>
    </row>
    <row r="33" spans="2:57" x14ac:dyDescent="0.2">
      <c r="B33" s="677" t="s">
        <v>930</v>
      </c>
      <c r="C33" s="677"/>
      <c r="D33" s="677"/>
      <c r="E33" s="90" t="s">
        <v>565</v>
      </c>
      <c r="F33" s="90" t="s">
        <v>566</v>
      </c>
      <c r="G33" s="90" t="s">
        <v>567</v>
      </c>
      <c r="H33" s="99" t="s">
        <v>931</v>
      </c>
      <c r="AK33" t="s">
        <v>609</v>
      </c>
      <c r="AL33">
        <f>AL31*$G$22</f>
        <v>0.81996184456406984</v>
      </c>
      <c r="AM33" s="241">
        <f t="shared" ref="AM33:AQ33" si="44">AM31*$G$22</f>
        <v>0.90173223328199947</v>
      </c>
      <c r="AN33" s="241">
        <f t="shared" si="44"/>
        <v>1.7199610640439695</v>
      </c>
      <c r="AO33" s="241">
        <f t="shared" si="44"/>
        <v>1.5946669149351491</v>
      </c>
      <c r="AP33" s="241">
        <f t="shared" si="44"/>
        <v>1.0006219711464983</v>
      </c>
      <c r="AQ33" s="241">
        <f t="shared" si="44"/>
        <v>3.3124391753273938</v>
      </c>
      <c r="AS33" s="241">
        <f t="shared" ref="AS33:AX33" si="45">AS31*$G$22</f>
        <v>4.4005338690270834</v>
      </c>
      <c r="AT33" s="241">
        <f t="shared" si="45"/>
        <v>4.566610906093044</v>
      </c>
      <c r="AU33" s="241">
        <f t="shared" si="45"/>
        <v>6.2572584432881158</v>
      </c>
      <c r="AV33" s="241">
        <f t="shared" si="45"/>
        <v>5.009715425069559</v>
      </c>
      <c r="AW33" s="241">
        <f t="shared" si="45"/>
        <v>1.1041463917757979</v>
      </c>
      <c r="AX33" s="241">
        <f t="shared" si="45"/>
        <v>3.7217234957046341</v>
      </c>
      <c r="AZ33" s="241">
        <f t="shared" ref="AZ33:BE33" si="46">AZ31*$G$22</f>
        <v>0.55207319588789894</v>
      </c>
      <c r="BA33" s="241">
        <f t="shared" si="46"/>
        <v>2.3889766139063076</v>
      </c>
      <c r="BB33" s="241">
        <f t="shared" si="46"/>
        <v>2.5386301032271943</v>
      </c>
      <c r="BC33" s="241">
        <f t="shared" si="46"/>
        <v>1.3357317022842028</v>
      </c>
      <c r="BD33" s="241">
        <f t="shared" si="46"/>
        <v>3.1869670195317297</v>
      </c>
      <c r="BE33" s="241">
        <f t="shared" si="46"/>
        <v>1.9322561856076463</v>
      </c>
    </row>
    <row r="34" spans="2:57" x14ac:dyDescent="0.2">
      <c r="B34" s="677" t="str">
        <f>VLOOKUP(1,'Daten-Materialien'!A2:W238,2,FALSE)</f>
        <v>Ti-DLC</v>
      </c>
      <c r="C34" s="677"/>
      <c r="D34" s="677"/>
      <c r="E34" s="346">
        <f>VLOOKUP(1,'Daten-Materialien'!A2:W238,8,FALSE)</f>
        <v>92</v>
      </c>
      <c r="F34" s="347">
        <f>VLOOKUP(1,'Daten-Materialien'!A2:W238,5,FALSE)</f>
        <v>0.21299999999999999</v>
      </c>
      <c r="G34" s="348">
        <f>VLOOKUP(1,'Daten-Materialien'!A2:W238,11,FALSE)</f>
        <v>42</v>
      </c>
      <c r="H34" s="349">
        <f>VLOOKUP(1,'Daten-Materialien'!A2:W238,22,FALSE)/100</f>
        <v>0.87203788786692005</v>
      </c>
      <c r="J34" t="str" cm="1">
        <f t="array" ref="J34:P38">_xlfn.SORTBY(B34:H38,H34:H38,-1)</f>
        <v>NTS</v>
      </c>
      <c r="K34">
        <v>0</v>
      </c>
      <c r="L34">
        <v>0</v>
      </c>
      <c r="M34">
        <v>160</v>
      </c>
      <c r="N34">
        <v>0.2</v>
      </c>
      <c r="O34">
        <v>24</v>
      </c>
      <c r="P34" s="241">
        <v>0.91626522274532629</v>
      </c>
    </row>
    <row r="35" spans="2:57" x14ac:dyDescent="0.2">
      <c r="B35" s="677" t="str">
        <f>VLOOKUP(2,'Daten-Materialien'!A2:W238,2,FALSE)</f>
        <v>F-DLC (5,0 % F)</v>
      </c>
      <c r="C35" s="677"/>
      <c r="D35" s="677"/>
      <c r="E35" s="346">
        <f>VLOOKUP(2,'Daten-Materialien'!A2:W238,8,FALSE)</f>
        <v>82.5</v>
      </c>
      <c r="F35" s="347">
        <f>VLOOKUP(2,'Daten-Materialien'!A2:W238,5,FALSE)</f>
        <v>0.14499999999999999</v>
      </c>
      <c r="G35" s="348">
        <f>VLOOKUP(2,'Daten-Materialien'!A2:W238,11,FALSE)</f>
        <v>32.14</v>
      </c>
      <c r="H35" s="349">
        <f>VLOOKUP(2,'Daten-Materialien'!A2:W238,22,FALSE)/100</f>
        <v>0.87203788786692005</v>
      </c>
      <c r="J35" t="str">
        <v>Ti-DLC</v>
      </c>
      <c r="K35">
        <v>0</v>
      </c>
      <c r="L35">
        <v>0</v>
      </c>
      <c r="M35">
        <v>92</v>
      </c>
      <c r="N35">
        <v>0.21299999999999999</v>
      </c>
      <c r="O35">
        <v>42</v>
      </c>
      <c r="P35" s="241">
        <v>0.87203788786692005</v>
      </c>
      <c r="AK35" s="241"/>
      <c r="AL35" t="s">
        <v>35</v>
      </c>
    </row>
    <row r="36" spans="2:57" x14ac:dyDescent="0.2">
      <c r="B36" s="677" t="str">
        <f>VLOOKUP(3,'Daten-Materialien'!A2:W238,2,FALSE)</f>
        <v>DLC-82KW</v>
      </c>
      <c r="C36" s="677"/>
      <c r="D36" s="677"/>
      <c r="E36" s="346">
        <f>VLOOKUP(3,'Daten-Materialien'!A2:W238,8,FALSE)</f>
        <v>82</v>
      </c>
      <c r="F36" s="347">
        <f>VLOOKUP(3,'Daten-Materialien'!A2:W238,5,FALSE)</f>
        <v>0.14499999999999999</v>
      </c>
      <c r="G36" s="348">
        <f>VLOOKUP(3,'Daten-Materialien'!A2:W238,11,FALSE)</f>
        <v>40</v>
      </c>
      <c r="H36" s="349">
        <f>VLOOKUP(3,'Daten-Materialien'!A2:W238,22,FALSE)/100</f>
        <v>0.87203788786692005</v>
      </c>
      <c r="J36" t="str">
        <v>F-DLC (5,0 % F)</v>
      </c>
      <c r="K36">
        <v>0</v>
      </c>
      <c r="L36">
        <v>0</v>
      </c>
      <c r="M36">
        <v>82.5</v>
      </c>
      <c r="N36">
        <v>0.14499999999999999</v>
      </c>
      <c r="O36">
        <v>32.14</v>
      </c>
      <c r="P36" s="241">
        <v>0.87203788786692005</v>
      </c>
      <c r="AK36" s="241"/>
      <c r="AL36" s="738" t="s">
        <v>565</v>
      </c>
      <c r="AM36" s="738"/>
      <c r="AN36" s="738"/>
      <c r="AO36" s="738"/>
      <c r="AP36" s="738"/>
      <c r="AQ36" s="738"/>
      <c r="AR36" s="330"/>
      <c r="AS36" s="738" t="s">
        <v>566</v>
      </c>
      <c r="AT36" s="738"/>
      <c r="AU36" s="738"/>
      <c r="AV36" s="738"/>
      <c r="AW36" s="738"/>
      <c r="AX36" s="738"/>
      <c r="AY36" s="330"/>
      <c r="AZ36" s="738" t="s">
        <v>567</v>
      </c>
      <c r="BA36" s="738"/>
      <c r="BB36" s="738"/>
      <c r="BC36" s="738"/>
      <c r="BD36" s="738"/>
      <c r="BE36" s="738"/>
    </row>
    <row r="37" spans="2:57" ht="13.5" thickBot="1" x14ac:dyDescent="0.25">
      <c r="B37" s="677" t="str">
        <f>IF('Daten-Materialien'!Y238&gt;3,VLOOKUP(4,'Daten-Materialien'!A2:W238,2,FALSE),"")</f>
        <v>NTS</v>
      </c>
      <c r="C37" s="677"/>
      <c r="D37" s="677"/>
      <c r="E37" s="346">
        <f>IF('Daten-Materialien'!Y238&gt;3,VLOOKUP(4,'Daten-Materialien'!A2:W238,8,FALSE),"")</f>
        <v>160</v>
      </c>
      <c r="F37" s="347">
        <f>IF('Daten-Materialien'!Y238&gt;3,VLOOKUP(4,'Daten-Materialien'!A2:W238,5,FALSE),"")</f>
        <v>0.2</v>
      </c>
      <c r="G37" s="348">
        <f>IF('Daten-Materialien'!Y238&gt;3,VLOOKUP(4,'Daten-Materialien'!A2:W238,11,FALSE),"")</f>
        <v>24</v>
      </c>
      <c r="H37" s="349">
        <f>IF('Daten-Materialien'!Y238&gt;3,VLOOKUP(4,'Daten-Materialien'!A2:W238,22,FALSE),0)/100</f>
        <v>0.91626522274532629</v>
      </c>
      <c r="J37" t="str">
        <v>DLC-82KW</v>
      </c>
      <c r="K37">
        <v>0</v>
      </c>
      <c r="L37">
        <v>0</v>
      </c>
      <c r="M37">
        <v>82</v>
      </c>
      <c r="N37">
        <v>0.14499999999999999</v>
      </c>
      <c r="O37">
        <v>40</v>
      </c>
      <c r="P37" s="241">
        <v>0.87203788786692005</v>
      </c>
      <c r="AK37" s="241"/>
      <c r="AL37" s="739">
        <v>1</v>
      </c>
      <c r="AM37" s="739"/>
      <c r="AN37" s="739"/>
      <c r="AO37" s="739"/>
      <c r="AP37" s="739"/>
      <c r="AQ37" s="739"/>
      <c r="AR37" s="241"/>
      <c r="AS37" s="739">
        <v>1</v>
      </c>
      <c r="AT37" s="739"/>
      <c r="AU37" s="739"/>
      <c r="AV37" s="739"/>
      <c r="AW37" s="739"/>
      <c r="AX37" s="739"/>
      <c r="AY37" s="241"/>
      <c r="AZ37" s="739">
        <v>2</v>
      </c>
      <c r="BA37" s="739"/>
      <c r="BB37" s="739"/>
      <c r="BC37" s="739"/>
      <c r="BD37" s="739"/>
      <c r="BE37" s="739"/>
    </row>
    <row r="38" spans="2:57" ht="13.5" thickBot="1" x14ac:dyDescent="0.25">
      <c r="B38" s="677" t="str">
        <f>IF('Daten-Materialien'!Y238&gt;4,VLOOKUP(5,'Daten-Materialien'!A2:W238,2,FALSE),"")</f>
        <v/>
      </c>
      <c r="C38" s="677"/>
      <c r="D38" s="677"/>
      <c r="E38" s="346" t="str">
        <f>IF('Daten-Materialien'!Y238&gt;4,VLOOKUP(5,'Daten-Materialien'!A2:W238,8,FALSE),"")</f>
        <v/>
      </c>
      <c r="F38" s="347" t="str">
        <f>IF('Daten-Materialien'!Y238&gt;4,VLOOKUP(5,'Daten-Materialien'!A2:W238,5,FALSE),"")</f>
        <v/>
      </c>
      <c r="G38" s="348" t="str">
        <f>IF('Daten-Materialien'!Y238&gt;4,VLOOKUP(5,'Daten-Materialien'!A2:W238,11,FALSE),"")</f>
        <v/>
      </c>
      <c r="H38" s="349">
        <f>IF('Daten-Materialien'!Y238&gt;4,VLOOKUP(5,'Daten-Materialien'!A2:W238,22,FALSE),0)/100</f>
        <v>0</v>
      </c>
      <c r="J38" t="str">
        <v/>
      </c>
      <c r="K38">
        <v>0</v>
      </c>
      <c r="L38">
        <v>0</v>
      </c>
      <c r="M38" t="str">
        <v/>
      </c>
      <c r="N38" t="str">
        <v/>
      </c>
      <c r="O38" t="str">
        <v/>
      </c>
      <c r="P38" s="241">
        <v>0</v>
      </c>
      <c r="AK38" s="241"/>
      <c r="AL38" s="331" t="s">
        <v>568</v>
      </c>
      <c r="AM38" s="332" t="s">
        <v>569</v>
      </c>
      <c r="AN38" s="333" t="s">
        <v>570</v>
      </c>
      <c r="AO38" s="332" t="s">
        <v>571</v>
      </c>
      <c r="AP38" s="333" t="s">
        <v>572</v>
      </c>
      <c r="AQ38" s="334" t="s">
        <v>573</v>
      </c>
      <c r="AR38" s="332"/>
      <c r="AS38" s="331" t="s">
        <v>574</v>
      </c>
      <c r="AT38" s="335" t="s">
        <v>575</v>
      </c>
      <c r="AU38" s="333" t="s">
        <v>576</v>
      </c>
      <c r="AV38" s="333" t="s">
        <v>577</v>
      </c>
      <c r="AW38" s="333" t="s">
        <v>578</v>
      </c>
      <c r="AX38" s="334" t="s">
        <v>579</v>
      </c>
      <c r="AY38" s="332"/>
      <c r="AZ38" s="331" t="s">
        <v>580</v>
      </c>
      <c r="BA38" s="333" t="s">
        <v>581</v>
      </c>
      <c r="BB38" s="332" t="s">
        <v>582</v>
      </c>
      <c r="BC38" s="333" t="s">
        <v>583</v>
      </c>
      <c r="BD38" s="332" t="s">
        <v>584</v>
      </c>
      <c r="BE38" s="336" t="s">
        <v>585</v>
      </c>
    </row>
    <row r="39" spans="2:57" x14ac:dyDescent="0.2">
      <c r="AK39" s="241" t="s">
        <v>586</v>
      </c>
      <c r="AL39">
        <v>-208.33249999999998</v>
      </c>
      <c r="AM39">
        <v>-184.90740740740739</v>
      </c>
      <c r="AN39">
        <v>-200</v>
      </c>
      <c r="AO39">
        <v>-102.59722222222221</v>
      </c>
      <c r="AP39">
        <v>-69</v>
      </c>
      <c r="AS39">
        <v>-180</v>
      </c>
      <c r="AT39">
        <v>-195.00210437710439</v>
      </c>
      <c r="AU39">
        <v>-146.11836650082915</v>
      </c>
      <c r="AV39">
        <v>-61.855670103092784</v>
      </c>
      <c r="AW39">
        <v>-23.184079601990046</v>
      </c>
      <c r="AX39">
        <v>-118.5</v>
      </c>
      <c r="AZ39">
        <v>-112.18181818181819</v>
      </c>
      <c r="BA39">
        <v>-145.97537878787881</v>
      </c>
      <c r="BB39">
        <v>-229.35786435786437</v>
      </c>
      <c r="BC39">
        <v>-128.625</v>
      </c>
      <c r="BD39">
        <v>-62.5</v>
      </c>
      <c r="BE39">
        <v>-204.78125</v>
      </c>
    </row>
    <row r="40" spans="2:57" x14ac:dyDescent="0.2">
      <c r="B40" s="344" t="s">
        <v>934</v>
      </c>
      <c r="D40" s="216" t="str" cm="1">
        <f t="array" ref="D40:E40">'Ausgabe Wärmeübertragerdesign'!B38:C38</f>
        <v>ZnO-Nanopartikel</v>
      </c>
      <c r="E40" s="216">
        <v>0</v>
      </c>
      <c r="F40" t="str">
        <f>'Ausgabe Wärmeübertragerdesign'!B39</f>
        <v>Versilbert</v>
      </c>
      <c r="H40" t="str">
        <f>'Ausgabe Wärmeübertragerdesign'!B40</f>
        <v>Ceramic Smooth Hydrophobic-1</v>
      </c>
      <c r="AK40" s="241" t="s">
        <v>500</v>
      </c>
      <c r="AL40">
        <v>-100</v>
      </c>
      <c r="AM40">
        <v>-100</v>
      </c>
      <c r="AN40">
        <v>-96.296296296296291</v>
      </c>
      <c r="AO40">
        <v>-90.909090909090907</v>
      </c>
      <c r="AP40">
        <v>-69</v>
      </c>
      <c r="AS40">
        <v>-100</v>
      </c>
      <c r="AT40">
        <v>-100</v>
      </c>
      <c r="AU40">
        <v>-95</v>
      </c>
      <c r="AV40">
        <v>-61.855670103092784</v>
      </c>
      <c r="AW40">
        <v>-23.184079601990046</v>
      </c>
      <c r="AX40">
        <v>-79</v>
      </c>
      <c r="AZ40">
        <v>-96</v>
      </c>
      <c r="BA40">
        <v>-83.332999999999998</v>
      </c>
      <c r="BB40">
        <v>-100</v>
      </c>
      <c r="BC40">
        <v>-90.625000000000014</v>
      </c>
      <c r="BD40">
        <v>-62.5</v>
      </c>
      <c r="BE40">
        <v>-100</v>
      </c>
    </row>
    <row r="41" spans="2:57" x14ac:dyDescent="0.2">
      <c r="AK41" s="241" t="s">
        <v>587</v>
      </c>
      <c r="AL41">
        <v>-83.332999999999998</v>
      </c>
      <c r="AM41">
        <v>-73.962962962962962</v>
      </c>
      <c r="AN41">
        <v>-80</v>
      </c>
      <c r="AO41">
        <v>-78.388888888888886</v>
      </c>
      <c r="AP41">
        <v>-69</v>
      </c>
      <c r="AS41">
        <v>-72</v>
      </c>
      <c r="AT41">
        <v>-91.750841750841744</v>
      </c>
      <c r="AU41">
        <v>-58.44734660033167</v>
      </c>
      <c r="AV41">
        <v>-61.855670103092784</v>
      </c>
      <c r="AW41">
        <v>-23.184079601990046</v>
      </c>
      <c r="AX41">
        <v>-59.25</v>
      </c>
      <c r="AZ41">
        <v>-87.909090909090907</v>
      </c>
      <c r="BA41">
        <v>-76.51515151515153</v>
      </c>
      <c r="BB41">
        <v>-92.171717171717177</v>
      </c>
      <c r="BC41">
        <v>-8.2499999999999982</v>
      </c>
      <c r="BD41">
        <v>-62.5</v>
      </c>
      <c r="BE41">
        <v>-85.8125</v>
      </c>
    </row>
    <row r="42" spans="2:57" x14ac:dyDescent="0.2">
      <c r="B42" s="677" t="s">
        <v>930</v>
      </c>
      <c r="C42" s="677"/>
      <c r="D42" s="677"/>
      <c r="E42" s="90" t="s">
        <v>565</v>
      </c>
      <c r="F42" s="90" t="s">
        <v>566</v>
      </c>
      <c r="G42" s="90" t="s">
        <v>567</v>
      </c>
      <c r="H42" s="99" t="s">
        <v>931</v>
      </c>
      <c r="AK42" s="241" t="s">
        <v>588</v>
      </c>
      <c r="AL42">
        <v>-54.394693200663347</v>
      </c>
      <c r="AM42">
        <v>-27.999999999999996</v>
      </c>
      <c r="AN42">
        <v>-30.833333333333332</v>
      </c>
      <c r="AO42">
        <v>-66.666666666666671</v>
      </c>
      <c r="AP42">
        <v>-69</v>
      </c>
      <c r="AS42">
        <v>-28.571428571428569</v>
      </c>
      <c r="AT42">
        <v>-71.428571428571431</v>
      </c>
      <c r="AU42">
        <v>-18.518518518518519</v>
      </c>
      <c r="AV42">
        <v>-61.855670103092784</v>
      </c>
      <c r="AW42">
        <v>-23.184079601990046</v>
      </c>
      <c r="AX42">
        <v>-39.5</v>
      </c>
      <c r="AZ42">
        <v>-79.818181818181813</v>
      </c>
      <c r="BA42">
        <v>-61.284977908689243</v>
      </c>
      <c r="BB42">
        <v>-65.208333333333329</v>
      </c>
      <c r="BC42">
        <v>10.724137931034484</v>
      </c>
      <c r="BD42">
        <v>-62.5</v>
      </c>
      <c r="BE42">
        <v>-44</v>
      </c>
    </row>
    <row r="43" spans="2:57" x14ac:dyDescent="0.2">
      <c r="B43" s="677" t="str">
        <f>D40</f>
        <v>ZnO-Nanopartikel</v>
      </c>
      <c r="C43" s="677"/>
      <c r="D43" s="677"/>
      <c r="E43" s="346">
        <f>VLOOKUP(B43,'Daten-Materialien'!B2:W238,7,FALSE)</f>
        <v>158</v>
      </c>
      <c r="F43" s="347">
        <f>VLOOKUP(B43,'Daten-Materialien'!B2:W238,4,FALSE)</f>
        <v>9.1819999999999999E-2</v>
      </c>
      <c r="G43" s="348">
        <f>VLOOKUP(B43,'Daten-Materialien'!B2:W238,10,FALSE)</f>
        <v>29.7</v>
      </c>
      <c r="H43" s="349">
        <f>VLOOKUP(B43,'Daten-Materialien'!B2:W238,21,FALSE)/100</f>
        <v>0.7828853708260628</v>
      </c>
      <c r="AK43" t="s">
        <v>589</v>
      </c>
      <c r="AL43">
        <v>0</v>
      </c>
      <c r="AM43">
        <v>0</v>
      </c>
      <c r="AN43">
        <v>0</v>
      </c>
      <c r="AO43">
        <v>-62.25</v>
      </c>
      <c r="AP43">
        <v>-69</v>
      </c>
      <c r="AS43">
        <v>0</v>
      </c>
      <c r="AT43">
        <v>-22.916666666666664</v>
      </c>
      <c r="AU43">
        <v>0</v>
      </c>
      <c r="AV43">
        <v>-61.855670103092784</v>
      </c>
      <c r="AW43">
        <v>-23.184079601990046</v>
      </c>
      <c r="AX43">
        <v>-19.75</v>
      </c>
      <c r="AZ43">
        <v>-71.72727272727272</v>
      </c>
      <c r="BA43">
        <v>-30.208333333333336</v>
      </c>
      <c r="BB43">
        <v>-0.71428571428571441</v>
      </c>
      <c r="BC43">
        <v>72</v>
      </c>
      <c r="BD43">
        <v>-62.5</v>
      </c>
      <c r="BE43">
        <v>-6.5</v>
      </c>
    </row>
    <row r="44" spans="2:57" x14ac:dyDescent="0.2">
      <c r="B44" s="677" t="str">
        <f>F40</f>
        <v>Versilbert</v>
      </c>
      <c r="C44" s="677"/>
      <c r="D44" s="677"/>
      <c r="E44" s="346">
        <f>VLOOKUP(B44,'Daten-Materialien'!B2:W238,7,FALSE)</f>
        <v>65</v>
      </c>
      <c r="F44" s="347">
        <f>VLOOKUP(B44,'Daten-Materialien'!B2:W238,4,FALSE)</f>
        <v>7.0000000000000007E-2</v>
      </c>
      <c r="G44" s="348">
        <f>VLOOKUP(B44,'Daten-Materialien'!B2:W238,10,FALSE)</f>
        <v>39.5</v>
      </c>
      <c r="H44" s="349">
        <f>VLOOKUP(B44,'Daten-Materialien'!B2:W238,21,FALSE)/100</f>
        <v>0.66696978924305339</v>
      </c>
      <c r="AK44" t="s">
        <v>501</v>
      </c>
      <c r="AL44">
        <v>83.333333333333343</v>
      </c>
      <c r="AM44">
        <v>83.333333333333343</v>
      </c>
      <c r="AN44">
        <v>100</v>
      </c>
      <c r="AO44">
        <v>-35</v>
      </c>
      <c r="AP44">
        <v>-69</v>
      </c>
      <c r="AS44">
        <v>38</v>
      </c>
      <c r="AT44">
        <v>100</v>
      </c>
      <c r="AU44">
        <v>83.333333333333343</v>
      </c>
      <c r="AV44">
        <v>-61.855670103092784</v>
      </c>
      <c r="AW44">
        <v>-23.184079601990046</v>
      </c>
      <c r="AX44">
        <v>0</v>
      </c>
      <c r="AZ44">
        <v>-63.636363636363633</v>
      </c>
      <c r="BA44">
        <v>0</v>
      </c>
      <c r="BB44">
        <v>71.428571428571431</v>
      </c>
      <c r="BC44">
        <v>100</v>
      </c>
      <c r="BD44">
        <v>-62.5</v>
      </c>
      <c r="BE44">
        <v>0</v>
      </c>
    </row>
    <row r="45" spans="2:57" x14ac:dyDescent="0.2">
      <c r="B45" s="677" t="str">
        <f>H40</f>
        <v>Ceramic Smooth Hydrophobic-1</v>
      </c>
      <c r="C45" s="677"/>
      <c r="D45" s="677"/>
      <c r="E45" s="346">
        <f>VLOOKUP(B45,'Daten-Materialien'!B2:W238,7,FALSE)</f>
        <v>72</v>
      </c>
      <c r="F45" s="347">
        <f>VLOOKUP(B45,'Daten-Materialien'!B2:W238,4,FALSE)</f>
        <v>0.05</v>
      </c>
      <c r="G45" s="348">
        <f>VLOOKUP(B45,'Daten-Materialien'!B2:W238,10,FALSE)</f>
        <v>50</v>
      </c>
      <c r="H45" s="349">
        <f>VLOOKUP(B45,'Daten-Materialien'!B2:W238,21,FALSE)/100</f>
        <v>0.46666284499123051</v>
      </c>
      <c r="AK45" t="s">
        <v>586</v>
      </c>
      <c r="AL45">
        <v>124.9995</v>
      </c>
      <c r="AM45">
        <v>110.94444444444444</v>
      </c>
      <c r="AN45">
        <v>120</v>
      </c>
      <c r="AO45">
        <v>-38.041666666666671</v>
      </c>
      <c r="AP45">
        <v>-69</v>
      </c>
      <c r="AS45">
        <v>108</v>
      </c>
      <c r="AT45">
        <v>80.334595959595958</v>
      </c>
      <c r="AU45">
        <v>87.671019900497498</v>
      </c>
      <c r="AV45">
        <v>-61.855670103092784</v>
      </c>
      <c r="AW45">
        <v>-23.184079601990046</v>
      </c>
      <c r="AX45">
        <v>39.5</v>
      </c>
      <c r="AZ45">
        <v>-47.454545454545439</v>
      </c>
      <c r="BA45">
        <v>39.251893939393959</v>
      </c>
      <c r="BB45">
        <v>136.47186147186147</v>
      </c>
      <c r="BC45">
        <v>192.375</v>
      </c>
      <c r="BD45">
        <v>-62.5</v>
      </c>
      <c r="BE45">
        <v>112.46875</v>
      </c>
    </row>
    <row r="47" spans="2:57" x14ac:dyDescent="0.2">
      <c r="AL47" s="241" t="s">
        <v>590</v>
      </c>
      <c r="AM47" s="241"/>
      <c r="AN47" s="241"/>
      <c r="AO47" s="241"/>
      <c r="AP47" s="241" t="s">
        <v>1018</v>
      </c>
      <c r="AQ47" s="241"/>
      <c r="AR47" s="241"/>
      <c r="AS47" s="241" t="s">
        <v>590</v>
      </c>
      <c r="AT47" s="241"/>
      <c r="AU47" s="241"/>
      <c r="AV47" s="241"/>
      <c r="AW47" s="241" t="s">
        <v>1018</v>
      </c>
      <c r="AX47" s="241"/>
      <c r="AY47" s="241"/>
      <c r="AZ47" s="241" t="s">
        <v>590</v>
      </c>
      <c r="BA47" s="241"/>
      <c r="BB47" s="241"/>
      <c r="BC47" s="241"/>
      <c r="BD47" s="241" t="s">
        <v>1018</v>
      </c>
      <c r="BE47" s="241"/>
    </row>
    <row r="48" spans="2:57" x14ac:dyDescent="0.2">
      <c r="AL48" s="241"/>
      <c r="AM48" s="241" t="s">
        <v>591</v>
      </c>
      <c r="AN48" s="241" t="s">
        <v>592</v>
      </c>
      <c r="AO48" s="241"/>
      <c r="AP48" s="241" t="s">
        <v>1020</v>
      </c>
      <c r="AQ48" s="241" t="s">
        <v>1021</v>
      </c>
      <c r="AR48" s="241"/>
      <c r="AS48" s="241"/>
      <c r="AT48" s="241" t="s">
        <v>591</v>
      </c>
      <c r="AU48" s="241" t="s">
        <v>592</v>
      </c>
      <c r="AV48" s="241"/>
      <c r="AW48" s="241" t="s">
        <v>1020</v>
      </c>
      <c r="AX48" s="241" t="s">
        <v>1021</v>
      </c>
      <c r="AY48" s="241"/>
      <c r="AZ48" s="241"/>
      <c r="BA48" s="241" t="s">
        <v>591</v>
      </c>
      <c r="BB48" s="241" t="s">
        <v>592</v>
      </c>
      <c r="BC48" s="241"/>
      <c r="BD48" s="241" t="s">
        <v>1020</v>
      </c>
      <c r="BE48" s="241" t="s">
        <v>1021</v>
      </c>
    </row>
    <row r="49" spans="2:57" x14ac:dyDescent="0.2">
      <c r="B49" s="344" t="s">
        <v>935</v>
      </c>
      <c r="AL49" s="241" t="s">
        <v>568</v>
      </c>
      <c r="AM49" s="241">
        <v>25</v>
      </c>
      <c r="AN49" s="241">
        <v>41.08</v>
      </c>
      <c r="AO49" s="241"/>
      <c r="AP49" s="241" t="s">
        <v>507</v>
      </c>
      <c r="AQ49" s="241" t="s">
        <v>1017</v>
      </c>
      <c r="AR49" s="241"/>
      <c r="AS49" s="241" t="s">
        <v>574</v>
      </c>
      <c r="AT49" s="241">
        <v>25</v>
      </c>
      <c r="AU49" s="241">
        <v>47.26</v>
      </c>
      <c r="AV49" s="241"/>
      <c r="AW49" s="241" t="s">
        <v>507</v>
      </c>
      <c r="AX49" s="241" t="s">
        <v>1017</v>
      </c>
      <c r="AY49" s="241"/>
      <c r="AZ49" s="241" t="s">
        <v>580</v>
      </c>
      <c r="BA49" s="241">
        <v>2</v>
      </c>
      <c r="BB49" s="241">
        <v>22.5</v>
      </c>
      <c r="BC49" s="241"/>
      <c r="BD49" s="241" t="s">
        <v>507</v>
      </c>
      <c r="BE49" s="241" t="s">
        <v>1017</v>
      </c>
    </row>
    <row r="50" spans="2:57" x14ac:dyDescent="0.2">
      <c r="B50" s="741" t="s">
        <v>961</v>
      </c>
      <c r="C50" s="742"/>
      <c r="D50" s="742"/>
      <c r="E50" s="742"/>
      <c r="F50" s="742"/>
      <c r="G50" s="743"/>
      <c r="J50" s="741" t="s">
        <v>962</v>
      </c>
      <c r="K50" s="742"/>
      <c r="L50" s="742"/>
      <c r="M50" s="742"/>
      <c r="N50" s="742"/>
      <c r="O50" s="743"/>
      <c r="R50" s="741" t="s">
        <v>963</v>
      </c>
      <c r="S50" s="742"/>
      <c r="T50" s="742"/>
      <c r="U50" s="742"/>
      <c r="V50" s="742"/>
      <c r="W50" s="743"/>
      <c r="AL50" s="241" t="s">
        <v>569</v>
      </c>
      <c r="AM50" s="241">
        <v>27</v>
      </c>
      <c r="AN50" s="241">
        <v>43.963000000000001</v>
      </c>
      <c r="AO50" s="241" t="s">
        <v>587</v>
      </c>
      <c r="AP50" s="241">
        <f>MIN(AL41:AQ41)</f>
        <v>-83.332999999999998</v>
      </c>
      <c r="AQ50" s="241">
        <f>MAX(AL41:AQ41)</f>
        <v>-69</v>
      </c>
      <c r="AR50" s="241"/>
      <c r="AS50" s="241" t="s">
        <v>575</v>
      </c>
      <c r="AT50" s="241">
        <v>35</v>
      </c>
      <c r="AU50" s="241">
        <v>33.971400000000003</v>
      </c>
      <c r="AV50" s="241" t="s">
        <v>587</v>
      </c>
      <c r="AW50" s="241">
        <f>MIN(AS41:AX41)</f>
        <v>-91.750841750841744</v>
      </c>
      <c r="AX50" s="241">
        <f>MAX(AS41:AX41)</f>
        <v>-23.184079601990046</v>
      </c>
      <c r="AY50" s="241"/>
      <c r="AZ50" s="241" t="s">
        <v>581</v>
      </c>
      <c r="BA50" s="241">
        <v>22</v>
      </c>
      <c r="BB50" s="241">
        <v>38.636400000000002</v>
      </c>
      <c r="BC50" s="241" t="s">
        <v>587</v>
      </c>
      <c r="BD50" s="241">
        <f>MIN(AZ41:BE41)</f>
        <v>-92.171717171717177</v>
      </c>
      <c r="BE50" s="241">
        <f>MAX(AZ41:BE41)</f>
        <v>-8.2499999999999982</v>
      </c>
    </row>
    <row r="51" spans="2:57" x14ac:dyDescent="0.2">
      <c r="B51" t="s">
        <v>565</v>
      </c>
      <c r="C51" s="350">
        <f>E43</f>
        <v>158</v>
      </c>
      <c r="J51" s="241" t="s">
        <v>565</v>
      </c>
      <c r="K51" s="350">
        <f>E44</f>
        <v>65</v>
      </c>
      <c r="R51" s="241" t="s">
        <v>565</v>
      </c>
      <c r="S51" s="350">
        <f>E45</f>
        <v>72</v>
      </c>
      <c r="AL51" s="241" t="s">
        <v>570</v>
      </c>
      <c r="AM51" s="241">
        <v>21</v>
      </c>
      <c r="AN51" s="241">
        <v>41.357100000000003</v>
      </c>
      <c r="AO51" s="241" t="s">
        <v>588</v>
      </c>
      <c r="AP51" s="241">
        <f t="shared" ref="AP51:AP52" si="47">MIN(AL42:AQ42)</f>
        <v>-69</v>
      </c>
      <c r="AQ51" s="241">
        <f t="shared" ref="AQ51:AQ52" si="48">MAX(AL42:AQ42)</f>
        <v>-27.999999999999996</v>
      </c>
      <c r="AR51" s="241"/>
      <c r="AS51" s="241" t="s">
        <v>576</v>
      </c>
      <c r="AT51" s="241">
        <v>19</v>
      </c>
      <c r="AU51" s="241">
        <v>49.236800000000002</v>
      </c>
      <c r="AV51" s="241" t="s">
        <v>588</v>
      </c>
      <c r="AW51" s="241">
        <f t="shared" ref="AW51:AW52" si="49">MIN(AS42:AX42)</f>
        <v>-71.428571428571431</v>
      </c>
      <c r="AX51" s="241">
        <f t="shared" ref="AX51:AX52" si="50">MAX(AS42:AX42)</f>
        <v>-18.518518518518519</v>
      </c>
      <c r="AY51" s="241"/>
      <c r="AZ51" s="241" t="s">
        <v>582</v>
      </c>
      <c r="BA51" s="241">
        <v>38</v>
      </c>
      <c r="BB51" s="241">
        <v>37.1053</v>
      </c>
      <c r="BC51" s="241" t="s">
        <v>588</v>
      </c>
      <c r="BD51" s="241">
        <f t="shared" ref="BD51:BD52" si="51">MIN(AZ42:BE42)</f>
        <v>-79.818181818181813</v>
      </c>
      <c r="BE51" s="241">
        <f t="shared" ref="BE51:BE52" si="52">MAX(AZ42:BE42)</f>
        <v>10.724137931034484</v>
      </c>
    </row>
    <row r="52" spans="2:57" x14ac:dyDescent="0.2">
      <c r="AL52" s="241" t="s">
        <v>571</v>
      </c>
      <c r="AM52" s="241">
        <v>7</v>
      </c>
      <c r="AN52" s="241">
        <v>29.5</v>
      </c>
      <c r="AO52" s="241" t="s">
        <v>589</v>
      </c>
      <c r="AP52" s="241">
        <f t="shared" si="47"/>
        <v>-69</v>
      </c>
      <c r="AQ52" s="241">
        <f t="shared" si="48"/>
        <v>0</v>
      </c>
      <c r="AR52" s="241"/>
      <c r="AS52" s="241" t="s">
        <v>577</v>
      </c>
      <c r="AT52" s="241">
        <v>1</v>
      </c>
      <c r="AU52" s="241">
        <v>39</v>
      </c>
      <c r="AV52" s="241" t="s">
        <v>589</v>
      </c>
      <c r="AW52" s="241">
        <f t="shared" si="49"/>
        <v>-61.855670103092784</v>
      </c>
      <c r="AX52" s="241">
        <f t="shared" si="50"/>
        <v>0</v>
      </c>
      <c r="AY52" s="241"/>
      <c r="AZ52" s="241" t="s">
        <v>583</v>
      </c>
      <c r="BA52" s="241">
        <v>14</v>
      </c>
      <c r="BB52" s="241">
        <v>64.964299999999994</v>
      </c>
      <c r="BC52" s="241" t="s">
        <v>589</v>
      </c>
      <c r="BD52" s="241">
        <f t="shared" si="51"/>
        <v>-71.72727272727272</v>
      </c>
      <c r="BE52" s="241">
        <f t="shared" si="52"/>
        <v>72</v>
      </c>
    </row>
    <row r="53" spans="2:57" x14ac:dyDescent="0.2">
      <c r="C53" t="s">
        <v>33</v>
      </c>
      <c r="D53" s="241" t="s">
        <v>35</v>
      </c>
      <c r="E53" s="241" t="s">
        <v>36</v>
      </c>
      <c r="G53" t="s">
        <v>607</v>
      </c>
      <c r="K53" s="241" t="s">
        <v>33</v>
      </c>
      <c r="L53" s="241" t="s">
        <v>35</v>
      </c>
      <c r="M53" s="241" t="s">
        <v>36</v>
      </c>
      <c r="N53" s="241"/>
      <c r="O53" s="241" t="s">
        <v>607</v>
      </c>
      <c r="S53" s="241" t="s">
        <v>33</v>
      </c>
      <c r="T53" s="241" t="s">
        <v>35</v>
      </c>
      <c r="U53" s="241" t="s">
        <v>36</v>
      </c>
      <c r="W53" s="241" t="s">
        <v>607</v>
      </c>
      <c r="AL53" s="241" t="s">
        <v>572</v>
      </c>
      <c r="AM53" s="241">
        <v>1</v>
      </c>
      <c r="AN53" s="241">
        <v>32</v>
      </c>
      <c r="AO53" s="241" t="s">
        <v>1019</v>
      </c>
      <c r="AP53" s="241">
        <f>(1-6)/(AP50-AQ50)</f>
        <v>0.34884532198423224</v>
      </c>
      <c r="AQ53" s="241">
        <f>1-AP53*AP50</f>
        <v>30.070327216912023</v>
      </c>
      <c r="AR53" s="241"/>
      <c r="AS53" s="241" t="s">
        <v>578</v>
      </c>
      <c r="AT53" s="241">
        <v>1</v>
      </c>
      <c r="AU53" s="241">
        <v>52</v>
      </c>
      <c r="AV53" s="241" t="s">
        <v>1019</v>
      </c>
      <c r="AW53" s="241">
        <f>(1-6)/(AW50-AX50)</f>
        <v>7.2921629129074114E-2</v>
      </c>
      <c r="AX53" s="241">
        <f>1-AW53*AW50</f>
        <v>7.6906208544352506</v>
      </c>
      <c r="AY53" s="241"/>
      <c r="AZ53" s="241" t="s">
        <v>584</v>
      </c>
      <c r="BA53" s="241">
        <v>1</v>
      </c>
      <c r="BB53" s="241">
        <v>37</v>
      </c>
      <c r="BC53" s="241" t="s">
        <v>1019</v>
      </c>
      <c r="BD53" s="241">
        <f>(1-6)/(BD50-BE50)</f>
        <v>5.9579333794722113E-2</v>
      </c>
      <c r="BE53" s="241">
        <f>1-BD53*BD50</f>
        <v>6.4915295038064578</v>
      </c>
    </row>
    <row r="54" spans="2:57" x14ac:dyDescent="0.2">
      <c r="B54" t="s">
        <v>14</v>
      </c>
      <c r="C54">
        <f>AL5</f>
        <v>1</v>
      </c>
      <c r="D54">
        <f>AL37</f>
        <v>1</v>
      </c>
      <c r="E54">
        <f>AL76</f>
        <v>1</v>
      </c>
      <c r="J54" s="241" t="s">
        <v>14</v>
      </c>
      <c r="K54" s="241">
        <f>AL5</f>
        <v>1</v>
      </c>
      <c r="L54" s="241">
        <f>AL37</f>
        <v>1</v>
      </c>
      <c r="M54" s="241">
        <f>AL76</f>
        <v>1</v>
      </c>
      <c r="R54" s="241" t="s">
        <v>14</v>
      </c>
      <c r="S54" s="241">
        <f>AL5</f>
        <v>1</v>
      </c>
      <c r="T54" s="241">
        <f>AL37</f>
        <v>1</v>
      </c>
      <c r="U54" s="241">
        <f>AL76</f>
        <v>1</v>
      </c>
      <c r="AL54" s="241" t="s">
        <v>596</v>
      </c>
      <c r="AM54" s="241"/>
      <c r="AN54" s="241"/>
      <c r="AO54" s="241" t="s">
        <v>1022</v>
      </c>
      <c r="AP54" s="241">
        <f>(1-6)/(AP51-AQ51)</f>
        <v>0.12195121951219512</v>
      </c>
      <c r="AQ54" s="241">
        <f>1-AP54*AP51</f>
        <v>9.4146341463414629</v>
      </c>
      <c r="AR54" s="241"/>
      <c r="AS54" s="241" t="s">
        <v>579</v>
      </c>
      <c r="AT54" s="241">
        <v>2</v>
      </c>
      <c r="AU54" s="241">
        <v>44.5</v>
      </c>
      <c r="AV54" s="241" t="s">
        <v>1022</v>
      </c>
      <c r="AW54" s="241">
        <f>(1-6)/(AW51-AX51)</f>
        <v>9.4500000000000001E-2</v>
      </c>
      <c r="AX54" s="241">
        <f>1-AW54*AW51</f>
        <v>7.75</v>
      </c>
      <c r="AY54" s="241"/>
      <c r="AZ54" s="241" t="s">
        <v>585</v>
      </c>
      <c r="BA54" s="241">
        <v>6</v>
      </c>
      <c r="BB54" s="241">
        <v>39.083300000000001</v>
      </c>
      <c r="BC54" s="241" t="s">
        <v>1022</v>
      </c>
      <c r="BD54" s="241">
        <f>(1-6)/(BD51-BE51)</f>
        <v>5.5222795415988651E-2</v>
      </c>
      <c r="BE54" s="241">
        <f>1-BD54*BD51</f>
        <v>5.4077831250216395</v>
      </c>
    </row>
    <row r="55" spans="2:57" x14ac:dyDescent="0.2">
      <c r="J55" s="241"/>
      <c r="AL55" s="241"/>
      <c r="AM55" s="241"/>
      <c r="AN55" s="241"/>
      <c r="AO55" s="241" t="s">
        <v>1023</v>
      </c>
      <c r="AP55" s="241">
        <f>(1-6)/(AP52-AQ52)</f>
        <v>7.2463768115942032E-2</v>
      </c>
      <c r="AQ55" s="241">
        <f>1-AP55*AP52</f>
        <v>6</v>
      </c>
      <c r="AR55" s="241"/>
      <c r="AS55" s="241" t="s">
        <v>597</v>
      </c>
      <c r="AT55" s="241"/>
      <c r="AU55" s="241"/>
      <c r="AV55" s="241" t="s">
        <v>1023</v>
      </c>
      <c r="AW55" s="241">
        <f>(1-6)/(AW52-AX52)</f>
        <v>8.0833333333333326E-2</v>
      </c>
      <c r="AX55" s="241">
        <f>1-AW55*AW52</f>
        <v>6</v>
      </c>
      <c r="AY55" s="241"/>
      <c r="AZ55" s="241" t="s">
        <v>598</v>
      </c>
      <c r="BA55" s="241"/>
      <c r="BB55" s="241"/>
      <c r="BC55" s="241" t="s">
        <v>1023</v>
      </c>
      <c r="BD55" s="241">
        <f>(1-6)/(BD52-BE52)</f>
        <v>3.478810879190386E-2</v>
      </c>
      <c r="BE55" s="241">
        <f>1-BD55*BD52</f>
        <v>3.4952561669829221</v>
      </c>
    </row>
    <row r="56" spans="2:57" x14ac:dyDescent="0.2">
      <c r="B56" s="241" t="s">
        <v>500</v>
      </c>
      <c r="C56" s="241">
        <f>IF($C$51&lt;60,AL8,IF(AND($C$51&gt;=60,$C$51&lt;80),AM8,IF(AND($C$51&gt;=80,$C$51&lt;100),AN8,IF(AND($C$51&gt;=100,$C$51&lt;120),AO8,IF(AND($C$51&gt;=120,$C$51&lt;140),AP8,IF($C$51&gt;=140,AQ8,""))))))</f>
        <v>-91.111111111111114</v>
      </c>
      <c r="D56">
        <f>IF($C$51&lt;60,AL40,IF(AND($C$51&gt;=60,$C$51&lt;80),AM40,IF(AND($C$51&gt;=80,$C$51&lt;100),AN40,IF(AND($C$51&gt;=100,$C$51&lt;120),AO40,IF(AND($C$51&gt;=120,$C$51&lt;140),AP40,IF($C$51&gt;=140,AP40,""))))))</f>
        <v>-69</v>
      </c>
      <c r="E56" s="241">
        <f>IF($C$51&lt;60,AL79,IF(AND($C$51&gt;=60,$C$51&lt;80),AM79,IF(AND($C$51&gt;=80,$C$51&lt;100),AN79,IF(AND($C$51&gt;=100,$C$51&lt;120),AO79,IF(AND($C$51&gt;=120,$C$51&lt;140),AQ79,IF($C$51&gt;=140,AQ79,""))))))</f>
        <v>-70</v>
      </c>
      <c r="G56">
        <f>(C56*$C$54*$H$22+D56*$D$54*$H$23+E56*$E$54*$H$24)/($C$54*$H$22+$D$54*$H$23+$E$54*$H$24)</f>
        <v>-81.430915177799605</v>
      </c>
      <c r="J56" s="241" t="s">
        <v>500</v>
      </c>
      <c r="K56">
        <f>IF($K$51&lt;60,AL8,IF(AND($K$51&gt;=60,$K$51&lt;80),AM8,IF(AND($K$51&gt;=80,$K$51&lt;100),AN8,IF(AND($K$51&gt;=100,$K$51&lt;120),AO8,IF(AND($K$51&gt;=120,$K$51&lt;140),AP8,IF($K$51&gt;=140,AQ8,""))))))</f>
        <v>-94.444444444444443</v>
      </c>
      <c r="L56">
        <f>IF($K$51&lt;60,AL40,IF(AND($K$51&gt;=60,$K$51&lt;80),AM40,IF(AND($K$51&gt;=80,$K$51&lt;100),AN40,IF(AND($K$51&gt;=100,$K$51&lt;120),AO40,IF(AND($K$51&gt;=120,$K$51&lt;140),AP40,IF($K$51&gt;=140,AP40,""))))))</f>
        <v>-100</v>
      </c>
      <c r="M56" s="241">
        <f>IF($K$51&lt;60,AL79,IF(AND($K$51&gt;=60,$K$51&lt;80),AM79,IF(AND($K$51&gt;=80,$K$51&lt;100),AN79,IF(AND($K$51&gt;=100,$K$51&lt;120),AO79,IF(AND($K$51&gt;=120,$K$51&lt;140),AQ79,IF($K$51&gt;=140,AQ79,""))))))</f>
        <v>-98.148148148148152</v>
      </c>
      <c r="O56" s="241">
        <f>(K56*$K$54*$H$22+L56*$L$54*$H$23+M56*$M$54*$H$24)/($K$54*$H$22+$L$54*$H$23+$M$54*$H$24)</f>
        <v>-96.518179648667143</v>
      </c>
      <c r="R56" s="241" t="s">
        <v>500</v>
      </c>
      <c r="S56" s="241">
        <f>IF($S$51&lt;60,AL8,IF(AND($S$51&gt;=60,$S$51&lt;80),AM8,IF(AND($S$51&gt;=80,$S$51&lt;100),AN8,IF(AND($S$51&gt;=100,$S$51&lt;120),AO8,IF(AND($S$51&gt;=120,$S$51&lt;140),AP8,IF($S$51&gt;=140,AQ8,""))))))</f>
        <v>-94.444444444444443</v>
      </c>
      <c r="T56" s="241">
        <f>IF($S$51&lt;60,AL40,IF(AND($S$51&gt;=60,$S$51&lt;80),AM40,IF(AND($S$51&gt;=80,$S$51&lt;100),AN40,IF(AND($S$51&gt;=100,$S$51&lt;120),AO40,IF(AND($S$51&gt;=120,$S$51&lt;140),AP40,IF($S$51&gt;=140,AP40,""))))))</f>
        <v>-100</v>
      </c>
      <c r="U56" s="241">
        <f>IF($S$51&lt;60,AL79,IF(AND($S$51&gt;=60,$S$51&lt;80),AM79,IF(AND($S$51&gt;=80,$S$51&lt;100),AN79,IF(AND($S$51&gt;=100,$S$51&lt;120),AO79,IF(AND($S$51&gt;=120,$S$51&lt;140),AQ79,IF($S$51&gt;=140,AQ79,""))))))</f>
        <v>-98.148148148148152</v>
      </c>
      <c r="W56" s="241">
        <f>(S56*$S$54*$H$22+T56*$T$54*$H$23+U56*$U$54*$H$24)/($S$54*$H$22+$T$54*$H$23+$U$54*$H$24)</f>
        <v>-96.518179648667143</v>
      </c>
    </row>
    <row r="57" spans="2:57" x14ac:dyDescent="0.2">
      <c r="B57" s="241" t="s">
        <v>587</v>
      </c>
      <c r="C57" s="241">
        <f>IF($C$51&lt;60,AL9,IF(AND($C$51&gt;=60,$C$51&lt;80),AM9,IF(AND($C$51&gt;=80,$C$51&lt;100),AN9,IF(AND($C$51&gt;=100,$C$51&lt;120),AO9,IF(AND($C$51&gt;=120,$C$51&lt;140),AP9,IF($C$51&gt;=140,AQ9,""))))))</f>
        <v>-90.833333333333343</v>
      </c>
      <c r="D57" s="241">
        <f>IF($C$51&lt;60,AL41,IF(AND($C$51&gt;=60,$C$51&lt;80),AM41,IF(AND($C$51&gt;=80,$C$51&lt;100),AN41,IF(AND($C$51&gt;=100,$C$51&lt;120),AO41,IF(AND($C$51&gt;=120,$C$51&lt;140),AP41,IF($C$51&gt;=140,AP41,""))))))</f>
        <v>-69</v>
      </c>
      <c r="E57" s="241">
        <f>IF($C$51&lt;60,AL80,IF(AND($C$51&gt;=60,$C$51&lt;80),AM80,IF(AND($C$51&gt;=80,$C$51&lt;100),AN80,IF(AND($C$51&gt;=100,$C$51&lt;120),AO80,IF(AND($C$51&gt;=120,$C$51&lt;140),AQ80,IF($C$51&gt;=140,AQ80,""))))))</f>
        <v>-70</v>
      </c>
      <c r="G57" s="241">
        <f t="shared" ref="G57:G60" si="53">(C57*$C$54*$H$22+D57*$D$54*$H$23+E57*$E$54*$H$24)/($C$54*$H$22+$D$54*$H$23+$E$54*$H$24)</f>
        <v>-81.277561512275184</v>
      </c>
      <c r="J57" s="241" t="s">
        <v>587</v>
      </c>
      <c r="K57" s="241">
        <f t="shared" ref="K57:K60" si="54">IF($K$51&lt;60,AL9,IF(AND($K$51&gt;=60,$K$51&lt;80),AM9,IF(AND($K$51&gt;=80,$K$51&lt;100),AN9,IF(AND($K$51&gt;=100,$K$51&lt;120),AO9,IF(AND($K$51&gt;=120,$K$51&lt;140),AP9,IF($K$51&gt;=140,AQ9,""))))))</f>
        <v>-56.296296296296291</v>
      </c>
      <c r="L57" s="241">
        <f t="shared" ref="L57:L60" si="55">IF($K$51&lt;60,AL41,IF(AND($K$51&gt;=60,$K$51&lt;80),AM41,IF(AND($K$51&gt;=80,$K$51&lt;100),AN41,IF(AND($K$51&gt;=100,$K$51&lt;120),AO41,IF(AND($K$51&gt;=120,$K$51&lt;140),AP41,IF($K$51&gt;=140,AP41,""))))))</f>
        <v>-73.962962962962962</v>
      </c>
      <c r="M57" s="241">
        <f t="shared" ref="M57:M60" si="56">IF($K$51&lt;60,AL80,IF(AND($K$51&gt;=60,$K$51&lt;80),AM80,IF(AND($K$51&gt;=80,$K$51&lt;100),AN80,IF(AND($K$51&gt;=100,$K$51&lt;120),AO80,IF(AND($K$51&gt;=120,$K$51&lt;140),AQ80,IF($K$51&gt;=140,AQ80,""))))))</f>
        <v>-47.692307692307693</v>
      </c>
      <c r="N57" s="241"/>
      <c r="O57" s="241">
        <f t="shared" ref="O57:O60" si="57">(K57*$K$54*$H$22+L57*$L$54*$H$23+M57*$M$54*$H$24)/($K$54*$H$22+$L$54*$H$23+$M$54*$H$24)</f>
        <v>-58.326004506952408</v>
      </c>
      <c r="R57" s="241" t="s">
        <v>587</v>
      </c>
      <c r="S57" s="241">
        <f t="shared" ref="S57:S60" si="58">IF($S$51&lt;60,AL9,IF(AND($S$51&gt;=60,$S$51&lt;80),AM9,IF(AND($S$51&gt;=80,$S$51&lt;100),AN9,IF(AND($S$51&gt;=100,$S$51&lt;120),AO9,IF(AND($S$51&gt;=120,$S$51&lt;140),AP9,IF($S$51&gt;=140,AQ9,""))))))</f>
        <v>-56.296296296296291</v>
      </c>
      <c r="T57" s="241">
        <f t="shared" ref="T57:T60" si="59">IF($S$51&lt;60,AL41,IF(AND($S$51&gt;=60,$S$51&lt;80),AM41,IF(AND($S$51&gt;=80,$S$51&lt;100),AN41,IF(AND($S$51&gt;=100,$S$51&lt;120),AO41,IF(AND($S$51&gt;=120,$S$51&lt;140),AP41,IF($S$51&gt;=140,AP41,""))))))</f>
        <v>-73.962962962962962</v>
      </c>
      <c r="U57" s="241">
        <f t="shared" ref="U57:U60" si="60">IF($S$51&lt;60,AL80,IF(AND($S$51&gt;=60,$S$51&lt;80),AM80,IF(AND($S$51&gt;=80,$S$51&lt;100),AN80,IF(AND($S$51&gt;=100,$S$51&lt;120),AO80,IF(AND($S$51&gt;=120,$S$51&lt;140),AQ80,IF($S$51&gt;=140,AQ80,""))))))</f>
        <v>-47.692307692307693</v>
      </c>
      <c r="W57" s="241">
        <f t="shared" ref="W57:W60" si="61">(S57*$S$54*$H$22+T57*$T$54*$H$23+U57*$U$54*$H$24)/($S$54*$H$22+$T$54*$H$23+$U$54*$H$24)</f>
        <v>-58.326004506952408</v>
      </c>
    </row>
    <row r="58" spans="2:57" x14ac:dyDescent="0.2">
      <c r="B58" s="241" t="s">
        <v>588</v>
      </c>
      <c r="C58" s="241">
        <f>IF($C$51&lt;60,AL10,IF(AND($C$51&gt;=60,$C$51&lt;80),AM10,IF(AND($C$51&gt;=80,$C$51&lt;100),AN10,IF(AND($C$51&gt;=100,$C$51&lt;120),AO10,IF(AND($C$51&gt;=120,$C$51&lt;140),AP10,IF($C$51&gt;=140,AQ10,""))))))</f>
        <v>-90.555555555555557</v>
      </c>
      <c r="D58" s="241">
        <f>IF($C$51&lt;60,AL42,IF(AND($C$51&gt;=60,$C$51&lt;80),AM42,IF(AND($C$51&gt;=80,$C$51&lt;100),AN42,IF(AND($C$51&gt;=100,$C$51&lt;120),AO42,IF(AND($C$51&gt;=120,$C$51&lt;140),AP42,IF($C$51&gt;=140,AP42,""))))))</f>
        <v>-69</v>
      </c>
      <c r="E58" s="241">
        <f>IF($C$51&lt;60,AL81,IF(AND($C$51&gt;=60,$C$51&lt;80),AM81,IF(AND($C$51&gt;=80,$C$51&lt;100),AN81,IF(AND($C$51&gt;=100,$C$51&lt;120),AO81,IF(AND($C$51&gt;=120,$C$51&lt;140),AQ81,IF($C$51&gt;=140,AQ81,""))))))</f>
        <v>-70</v>
      </c>
      <c r="G58" s="241">
        <f t="shared" si="53"/>
        <v>-81.124207846750764</v>
      </c>
      <c r="J58" s="241" t="s">
        <v>588</v>
      </c>
      <c r="K58" s="241">
        <f t="shared" si="54"/>
        <v>-40</v>
      </c>
      <c r="L58" s="241">
        <f t="shared" si="55"/>
        <v>-27.999999999999996</v>
      </c>
      <c r="M58" s="241">
        <f t="shared" si="56"/>
        <v>-22.5</v>
      </c>
      <c r="N58" s="241"/>
      <c r="O58" s="241">
        <f t="shared" si="57"/>
        <v>-33.39307963934651</v>
      </c>
      <c r="R58" s="241" t="s">
        <v>588</v>
      </c>
      <c r="S58" s="241">
        <f t="shared" si="58"/>
        <v>-40</v>
      </c>
      <c r="T58" s="241">
        <f t="shared" si="59"/>
        <v>-27.999999999999996</v>
      </c>
      <c r="U58" s="241">
        <f t="shared" si="60"/>
        <v>-22.5</v>
      </c>
      <c r="W58" s="241">
        <f t="shared" si="61"/>
        <v>-33.39307963934651</v>
      </c>
      <c r="AK58" s="241" t="s">
        <v>603</v>
      </c>
      <c r="AL58" s="241">
        <f>AP53*AL41+AQ53</f>
        <v>1</v>
      </c>
      <c r="AM58" s="241">
        <f>AP53*AM41+AQ53</f>
        <v>4.2686935871893645</v>
      </c>
      <c r="AN58" s="241">
        <f>AP53*AN41+AQ53</f>
        <v>2.1627014581734443</v>
      </c>
      <c r="AO58" s="241">
        <f>AP53*AO41+AQ53</f>
        <v>2.724730032481375</v>
      </c>
      <c r="AP58" s="241">
        <f>AP53*AP41+AQ53</f>
        <v>6</v>
      </c>
      <c r="AQ58" s="241"/>
      <c r="AS58" s="241">
        <f>AW53*AS41+AX53</f>
        <v>2.4402635571419147</v>
      </c>
      <c r="AT58" s="241">
        <f>AW53*AT41+AX53</f>
        <v>1</v>
      </c>
      <c r="AU58" s="241">
        <f>AW53*AU41+AX53</f>
        <v>3.4285451220674137</v>
      </c>
      <c r="AV58" s="241">
        <f>AW53*AV41+AX53</f>
        <v>3.1800046196471614</v>
      </c>
      <c r="AW58" s="241">
        <f>AW53*AW41+AX53</f>
        <v>6</v>
      </c>
      <c r="AX58" s="241">
        <f>AW53*AX41+AX53</f>
        <v>3.370014328537609</v>
      </c>
      <c r="AZ58" s="241">
        <f>BD53*AZ41+BE53</f>
        <v>1.2539644329431594</v>
      </c>
      <c r="BA58" s="241">
        <f>BD53*BA41+BE53</f>
        <v>1.9328077513315076</v>
      </c>
      <c r="BB58" s="241">
        <f>BD53*BB41+BE53</f>
        <v>1</v>
      </c>
      <c r="BC58" s="241">
        <f>BD53*BC41+BE53</f>
        <v>6</v>
      </c>
      <c r="BD58" s="241">
        <f>BD53*BD41+BE53</f>
        <v>2.7678211416363259</v>
      </c>
      <c r="BE58" s="241">
        <f>BD53*BE41+BE53</f>
        <v>1.3788779225468666</v>
      </c>
    </row>
    <row r="59" spans="2:57" x14ac:dyDescent="0.2">
      <c r="B59" s="241" t="s">
        <v>589</v>
      </c>
      <c r="C59" s="241">
        <f>IF($C$51&lt;60,AL11,IF(AND($C$51&gt;=60,$C$51&lt;80),AM11,IF(AND($C$51&gt;=80,$C$51&lt;100),AN11,IF(AND($C$51&gt;=100,$C$51&lt;120),AO11,IF(AND($C$51&gt;=120,$C$51&lt;140),AP11,IF($C$51&gt;=140,AQ11,""))))))</f>
        <v>-90.277777777777771</v>
      </c>
      <c r="D59" s="241">
        <f>IF($C$51&lt;60,AL43,IF(AND($C$51&gt;=60,$C$51&lt;80),AM43,IF(AND($C$51&gt;=80,$C$51&lt;100),AN43,IF(AND($C$51&gt;=100,$C$51&lt;120),AO43,IF(AND($C$51&gt;=120,$C$51&lt;140),AP43,IF($C$51&gt;=140,AP43,""))))))</f>
        <v>-69</v>
      </c>
      <c r="E59" s="241">
        <f>IF($C$51&lt;60,AL82,IF(AND($C$51&gt;=60,$C$51&lt;80),AM82,IF(AND($C$51&gt;=80,$C$51&lt;100),AN82,IF(AND($C$51&gt;=100,$C$51&lt;120),AO82,IF(AND($C$51&gt;=120,$C$51&lt;140),AQ82,IF($C$51&gt;=140,AQ82,""))))))</f>
        <v>-70</v>
      </c>
      <c r="G59" s="241">
        <f t="shared" si="53"/>
        <v>-80.970854181226343</v>
      </c>
      <c r="J59" s="241" t="s">
        <v>589</v>
      </c>
      <c r="K59" s="241">
        <f t="shared" si="54"/>
        <v>-32.183908045977006</v>
      </c>
      <c r="L59" s="241">
        <f t="shared" si="55"/>
        <v>0</v>
      </c>
      <c r="M59" s="241">
        <f t="shared" si="56"/>
        <v>-3.5994755244755208</v>
      </c>
      <c r="N59" s="241"/>
      <c r="O59" s="241">
        <f t="shared" si="57"/>
        <v>-18.574023755183816</v>
      </c>
      <c r="R59" s="241" t="s">
        <v>589</v>
      </c>
      <c r="S59" s="241">
        <f t="shared" si="58"/>
        <v>-32.183908045977006</v>
      </c>
      <c r="T59" s="241">
        <f t="shared" si="59"/>
        <v>0</v>
      </c>
      <c r="U59" s="241">
        <f t="shared" si="60"/>
        <v>-3.5994755244755208</v>
      </c>
      <c r="W59" s="241">
        <f t="shared" si="61"/>
        <v>-18.574023755183816</v>
      </c>
      <c r="AK59" s="241" t="s">
        <v>604</v>
      </c>
      <c r="AL59" s="241">
        <f t="shared" ref="AL59:AL60" si="62">AP54*AL42+AQ54</f>
        <v>2.7811349755288601</v>
      </c>
      <c r="AM59" s="241">
        <f t="shared" ref="AM59:AM60" si="63">AP54*AM42+AQ54</f>
        <v>6</v>
      </c>
      <c r="AN59" s="241">
        <f t="shared" ref="AN59:AN60" si="64">AP54*AN42+AQ54</f>
        <v>5.654471544715447</v>
      </c>
      <c r="AO59" s="241">
        <f t="shared" ref="AO59:AO60" si="65">AP54*AO42+AQ54</f>
        <v>1.2845528455284541</v>
      </c>
      <c r="AP59" s="241">
        <f t="shared" ref="AP59:AP60" si="66">AP54*AP42+AQ54</f>
        <v>1</v>
      </c>
      <c r="AQ59" s="241"/>
      <c r="AS59" s="241">
        <f t="shared" ref="AS59:AS60" si="67">AW54*AS42+AX54</f>
        <v>5.0500000000000007</v>
      </c>
      <c r="AT59" s="241">
        <f t="shared" ref="AT59:AT60" si="68">AW54*AT42+AX54</f>
        <v>1</v>
      </c>
      <c r="AU59" s="241">
        <f t="shared" ref="AU59:AU60" si="69">AW54*AU42+AX54</f>
        <v>6</v>
      </c>
      <c r="AV59" s="241">
        <f t="shared" ref="AV59:AV60" si="70">AW54*AV42+AX54</f>
        <v>1.9046391752577323</v>
      </c>
      <c r="AW59" s="241">
        <f t="shared" ref="AW59:AW60" si="71">AW54*AW42+AX54</f>
        <v>5.5591044776119407</v>
      </c>
      <c r="AX59" s="241">
        <f t="shared" ref="AX59:AX60" si="72">AW54*AX42+AX54</f>
        <v>4.0172499999999998</v>
      </c>
      <c r="AZ59" s="241">
        <f t="shared" ref="AZ59:AZ60" si="73">BD54*AZ42+BE54</f>
        <v>1</v>
      </c>
      <c r="BA59" s="241">
        <f t="shared" ref="BA59:BA60" si="74">BD54*BA42+BE54</f>
        <v>2.0234553278967096</v>
      </c>
      <c r="BB59" s="241">
        <f t="shared" ref="BB59:BB60" si="75">BD54*BB42+BE54</f>
        <v>1.80679667393738</v>
      </c>
      <c r="BC59" s="241">
        <f t="shared" ref="BC59:BC60" si="76">BD54*BC42+BE54</f>
        <v>6.0000000000000009</v>
      </c>
      <c r="BD59" s="241">
        <f t="shared" ref="BD59:BD60" si="77">BD54*BD42+BE54</f>
        <v>1.9563584115223489</v>
      </c>
      <c r="BE59" s="241">
        <f t="shared" ref="BE59:BE60" si="78">BD54*BE42+BE54</f>
        <v>2.9779801267181387</v>
      </c>
    </row>
    <row r="60" spans="2:57" x14ac:dyDescent="0.2">
      <c r="B60" s="241" t="s">
        <v>501</v>
      </c>
      <c r="C60" s="241">
        <f>IF($C$51&lt;60,AL12,IF(AND($C$51&gt;=60,$C$51&lt;80),AM12,IF(AND($C$51&gt;=80,$C$51&lt;100),AN12,IF(AND($C$51&gt;=100,$C$51&lt;120),AO12,IF(AND($C$51&gt;=120,$C$51&lt;140),AP12,IF($C$51&gt;=140,AQ12,""))))))</f>
        <v>-90</v>
      </c>
      <c r="D60" s="241">
        <f>IF($C$51&lt;60,AL44,IF(AND($C$51&gt;=60,$C$51&lt;80),AM44,IF(AND($C$51&gt;=80,$C$51&lt;100),AN44,IF(AND($C$51&gt;=100,$C$51&lt;120),AO44,IF(AND($C$51&gt;=120,$C$51&lt;140),AP44,IF($C$51&gt;=140,AP44,""))))))</f>
        <v>-69</v>
      </c>
      <c r="E60" s="241">
        <f>IF($C$51&lt;60,AL83,IF(AND($C$51&gt;=60,$C$51&lt;80),AM83,IF(AND($C$51&gt;=80,$C$51&lt;100),AN83,IF(AND($C$51&gt;=100,$C$51&lt;120),AO83,IF(AND($C$51&gt;=120,$C$51&lt;140),AQ83,IF($C$51&gt;=140,AQ83,""))))))</f>
        <v>-70</v>
      </c>
      <c r="G60" s="241">
        <f t="shared" si="53"/>
        <v>-80.817500515701923</v>
      </c>
      <c r="J60" s="241" t="s">
        <v>501</v>
      </c>
      <c r="K60" s="241">
        <f t="shared" si="54"/>
        <v>-4.0999999999999943</v>
      </c>
      <c r="L60" s="241">
        <f t="shared" si="55"/>
        <v>83.333333333333343</v>
      </c>
      <c r="M60" s="241">
        <f t="shared" si="56"/>
        <v>24.9</v>
      </c>
      <c r="N60" s="241"/>
      <c r="O60" s="241">
        <f t="shared" si="57"/>
        <v>21.97680544605949</v>
      </c>
      <c r="R60" s="241" t="s">
        <v>501</v>
      </c>
      <c r="S60" s="241">
        <f t="shared" si="58"/>
        <v>-4.0999999999999943</v>
      </c>
      <c r="T60" s="241">
        <f t="shared" si="59"/>
        <v>83.333333333333343</v>
      </c>
      <c r="U60" s="241">
        <f t="shared" si="60"/>
        <v>24.9</v>
      </c>
      <c r="W60" s="241">
        <f t="shared" si="61"/>
        <v>21.97680544605949</v>
      </c>
      <c r="AK60" s="241" t="s">
        <v>605</v>
      </c>
      <c r="AL60" s="241">
        <f t="shared" si="62"/>
        <v>6</v>
      </c>
      <c r="AM60" s="241">
        <f t="shared" si="63"/>
        <v>6</v>
      </c>
      <c r="AN60" s="241">
        <f t="shared" si="64"/>
        <v>6</v>
      </c>
      <c r="AO60" s="241">
        <f t="shared" si="65"/>
        <v>1.4891304347826084</v>
      </c>
      <c r="AP60" s="241">
        <f t="shared" si="66"/>
        <v>1</v>
      </c>
      <c r="AQ60" s="241"/>
      <c r="AS60" s="241">
        <f t="shared" si="67"/>
        <v>6</v>
      </c>
      <c r="AT60" s="241">
        <f t="shared" si="68"/>
        <v>4.1475694444444446</v>
      </c>
      <c r="AU60" s="241">
        <f t="shared" si="69"/>
        <v>6</v>
      </c>
      <c r="AV60" s="241">
        <f t="shared" si="70"/>
        <v>1</v>
      </c>
      <c r="AW60" s="241">
        <f t="shared" si="71"/>
        <v>4.1259535655058048</v>
      </c>
      <c r="AX60" s="241">
        <f t="shared" si="72"/>
        <v>4.4035416666666674</v>
      </c>
      <c r="AZ60" s="241">
        <f t="shared" si="73"/>
        <v>1</v>
      </c>
      <c r="BA60" s="241">
        <f t="shared" si="74"/>
        <v>2.4443653805608263</v>
      </c>
      <c r="BB60" s="241">
        <f t="shared" si="75"/>
        <v>3.4704075178458478</v>
      </c>
      <c r="BC60" s="241">
        <f t="shared" si="76"/>
        <v>6</v>
      </c>
      <c r="BD60" s="241">
        <f t="shared" si="77"/>
        <v>1.3209993674889309</v>
      </c>
      <c r="BE60" s="241">
        <f t="shared" si="78"/>
        <v>3.269133459835547</v>
      </c>
    </row>
    <row r="61" spans="2:57" x14ac:dyDescent="0.2">
      <c r="C61" s="241"/>
      <c r="AK61" s="241" t="s">
        <v>606</v>
      </c>
      <c r="AL61" s="241">
        <f>SUM(AL58:AL60)/3</f>
        <v>3.260378325176287</v>
      </c>
      <c r="AM61" s="241">
        <f t="shared" ref="AM61:AP61" si="79">SUM(AM58:AM60)/3</f>
        <v>5.4228978623964545</v>
      </c>
      <c r="AN61" s="241">
        <f t="shared" si="79"/>
        <v>4.6057243342962968</v>
      </c>
      <c r="AO61" s="241">
        <f t="shared" si="79"/>
        <v>1.8328044375974792</v>
      </c>
      <c r="AP61" s="241">
        <f t="shared" si="79"/>
        <v>2.6666666666666665</v>
      </c>
      <c r="AQ61" s="241">
        <v>3.5</v>
      </c>
      <c r="AS61" s="241">
        <f>SUM(AS58:AS60)/3</f>
        <v>4.4967545190473048</v>
      </c>
      <c r="AT61" s="241">
        <f t="shared" ref="AT61:AX61" si="80">SUM(AT58:AT60)/3</f>
        <v>2.0491898148148149</v>
      </c>
      <c r="AU61" s="241">
        <f t="shared" si="80"/>
        <v>5.1428483740224715</v>
      </c>
      <c r="AV61" s="241">
        <f t="shared" si="80"/>
        <v>2.0282145983016311</v>
      </c>
      <c r="AW61" s="241">
        <f t="shared" si="80"/>
        <v>5.2283526810392482</v>
      </c>
      <c r="AX61" s="241">
        <f t="shared" si="80"/>
        <v>3.9302686650680925</v>
      </c>
      <c r="AZ61" s="241">
        <f>SUM(AZ58:AZ60)/3</f>
        <v>1.0846548109810532</v>
      </c>
      <c r="BA61" s="241">
        <f t="shared" ref="BA61:BE61" si="81">SUM(BA58:BA60)/3</f>
        <v>2.1335428199296813</v>
      </c>
      <c r="BB61" s="241">
        <f t="shared" si="81"/>
        <v>2.0924013972610758</v>
      </c>
      <c r="BC61" s="241">
        <f t="shared" si="81"/>
        <v>6</v>
      </c>
      <c r="BD61" s="241">
        <f t="shared" si="81"/>
        <v>2.0150596402158687</v>
      </c>
      <c r="BE61" s="241">
        <f t="shared" si="81"/>
        <v>2.5419971697001844</v>
      </c>
    </row>
    <row r="62" spans="2:57" x14ac:dyDescent="0.2">
      <c r="C62" s="351"/>
      <c r="AK62" s="241"/>
      <c r="AQ62" s="241"/>
    </row>
    <row r="63" spans="2:57" x14ac:dyDescent="0.2">
      <c r="B63" s="241" t="s">
        <v>566</v>
      </c>
      <c r="C63" s="351">
        <f>F43</f>
        <v>9.1819999999999999E-2</v>
      </c>
      <c r="D63" s="241"/>
      <c r="E63" s="241"/>
      <c r="F63" s="241"/>
      <c r="G63" s="241"/>
      <c r="J63" s="241" t="s">
        <v>566</v>
      </c>
      <c r="K63" s="364">
        <f>F44</f>
        <v>7.0000000000000007E-2</v>
      </c>
      <c r="R63" s="241" t="s">
        <v>566</v>
      </c>
      <c r="S63" s="364">
        <f>F45</f>
        <v>0.05</v>
      </c>
      <c r="AK63" s="241" t="s">
        <v>607</v>
      </c>
      <c r="AL63" s="241">
        <f t="shared" ref="AL63:AQ63" si="82">7-AL61</f>
        <v>3.739621674823713</v>
      </c>
      <c r="AM63" s="241">
        <f t="shared" si="82"/>
        <v>1.5771021376035455</v>
      </c>
      <c r="AN63" s="241">
        <f t="shared" si="82"/>
        <v>2.3942756657037032</v>
      </c>
      <c r="AO63" s="241">
        <f t="shared" si="82"/>
        <v>5.1671955624025205</v>
      </c>
      <c r="AP63" s="241">
        <f t="shared" si="82"/>
        <v>4.3333333333333339</v>
      </c>
      <c r="AQ63" s="241">
        <f t="shared" si="82"/>
        <v>3.5</v>
      </c>
      <c r="AS63" s="241">
        <f t="shared" ref="AS63:AW63" si="83">7-AS61</f>
        <v>2.5032454809526952</v>
      </c>
      <c r="AT63" s="241">
        <f t="shared" si="83"/>
        <v>4.9508101851851851</v>
      </c>
      <c r="AU63" s="241">
        <f t="shared" si="83"/>
        <v>1.8571516259775285</v>
      </c>
      <c r="AV63" s="241">
        <f t="shared" si="83"/>
        <v>4.9717854016983694</v>
      </c>
      <c r="AW63" s="241">
        <f t="shared" si="83"/>
        <v>1.7716473189607518</v>
      </c>
      <c r="AX63" s="241">
        <f t="shared" ref="AX63" si="84">7-AX61</f>
        <v>3.0697313349319075</v>
      </c>
      <c r="AZ63" s="241">
        <f t="shared" ref="AZ63:BE63" si="85">7-AZ61</f>
        <v>5.9153451890189466</v>
      </c>
      <c r="BA63" s="241">
        <f t="shared" si="85"/>
        <v>4.8664571800703182</v>
      </c>
      <c r="BB63" s="241">
        <f t="shared" si="85"/>
        <v>4.9075986027389238</v>
      </c>
      <c r="BC63" s="241">
        <f t="shared" si="85"/>
        <v>1</v>
      </c>
      <c r="BD63" s="241">
        <f t="shared" si="85"/>
        <v>4.9849403597841313</v>
      </c>
      <c r="BE63" s="241">
        <f t="shared" si="85"/>
        <v>4.4580028302998151</v>
      </c>
    </row>
    <row r="64" spans="2:57" x14ac:dyDescent="0.2">
      <c r="B64" s="241"/>
      <c r="C64" s="241"/>
      <c r="D64" s="241"/>
      <c r="E64" s="241"/>
      <c r="F64" s="241"/>
      <c r="G64" s="241"/>
      <c r="AK64" s="241" t="s">
        <v>608</v>
      </c>
      <c r="AL64" s="241">
        <f>AL63*$AL$37</f>
        <v>3.739621674823713</v>
      </c>
      <c r="AM64" s="241">
        <f t="shared" ref="AM64:AP64" si="86">AM63*$AL$37</f>
        <v>1.5771021376035455</v>
      </c>
      <c r="AN64" s="241">
        <f t="shared" si="86"/>
        <v>2.3942756657037032</v>
      </c>
      <c r="AO64" s="241">
        <f t="shared" si="86"/>
        <v>5.1671955624025205</v>
      </c>
      <c r="AP64" s="241">
        <f t="shared" si="86"/>
        <v>4.3333333333333339</v>
      </c>
      <c r="AQ64" s="241">
        <f t="shared" ref="AQ64" si="87">AQ63*$AZ$5</f>
        <v>3.5</v>
      </c>
      <c r="AS64" s="241">
        <f>AS63*$AS$37</f>
        <v>2.5032454809526952</v>
      </c>
      <c r="AT64" s="241">
        <f t="shared" ref="AT64:AX64" si="88">AT63*$AS$37</f>
        <v>4.9508101851851851</v>
      </c>
      <c r="AU64" s="241">
        <f t="shared" si="88"/>
        <v>1.8571516259775285</v>
      </c>
      <c r="AV64" s="241">
        <f t="shared" si="88"/>
        <v>4.9717854016983694</v>
      </c>
      <c r="AW64" s="241">
        <f t="shared" si="88"/>
        <v>1.7716473189607518</v>
      </c>
      <c r="AX64" s="241">
        <f t="shared" si="88"/>
        <v>3.0697313349319075</v>
      </c>
      <c r="AZ64" s="241">
        <f>AZ63*$AZ$37</f>
        <v>11.830690378037893</v>
      </c>
      <c r="BA64" s="241">
        <f t="shared" ref="BA64:BE64" si="89">BA63*$AZ$37</f>
        <v>9.7329143601406365</v>
      </c>
      <c r="BB64" s="241">
        <f t="shared" si="89"/>
        <v>9.8151972054778476</v>
      </c>
      <c r="BC64" s="241">
        <f t="shared" si="89"/>
        <v>2</v>
      </c>
      <c r="BD64" s="241">
        <f t="shared" si="89"/>
        <v>9.9698807195682626</v>
      </c>
      <c r="BE64" s="241">
        <f t="shared" si="89"/>
        <v>8.9160056605996303</v>
      </c>
    </row>
    <row r="65" spans="2:57" x14ac:dyDescent="0.2">
      <c r="B65" s="241"/>
      <c r="C65" s="241" t="s">
        <v>33</v>
      </c>
      <c r="D65" s="241" t="s">
        <v>35</v>
      </c>
      <c r="E65" s="241" t="s">
        <v>36</v>
      </c>
      <c r="F65" s="241"/>
      <c r="G65" s="241" t="s">
        <v>607</v>
      </c>
      <c r="J65" s="241"/>
      <c r="K65" s="241" t="s">
        <v>33</v>
      </c>
      <c r="L65" s="241" t="s">
        <v>35</v>
      </c>
      <c r="M65" s="241" t="s">
        <v>36</v>
      </c>
      <c r="N65" s="241"/>
      <c r="O65" s="241" t="s">
        <v>607</v>
      </c>
      <c r="S65" s="241" t="s">
        <v>33</v>
      </c>
      <c r="T65" s="241" t="s">
        <v>35</v>
      </c>
      <c r="U65" s="241" t="s">
        <v>36</v>
      </c>
      <c r="W65" s="241" t="s">
        <v>607</v>
      </c>
    </row>
    <row r="66" spans="2:57" x14ac:dyDescent="0.2">
      <c r="B66" s="241" t="s">
        <v>14</v>
      </c>
      <c r="C66" s="241">
        <f>AS5</f>
        <v>2</v>
      </c>
      <c r="D66" s="241">
        <f>AS37</f>
        <v>1</v>
      </c>
      <c r="E66" s="241">
        <f>AS76</f>
        <v>2</v>
      </c>
      <c r="F66" s="241"/>
      <c r="G66" s="241"/>
      <c r="J66" s="241" t="s">
        <v>14</v>
      </c>
      <c r="K66" s="241">
        <f>AS5</f>
        <v>2</v>
      </c>
      <c r="L66" s="241">
        <f>AS37</f>
        <v>1</v>
      </c>
      <c r="M66" s="241">
        <f>AS76</f>
        <v>2</v>
      </c>
      <c r="R66" s="241" t="s">
        <v>14</v>
      </c>
      <c r="S66" s="241">
        <f>AS5</f>
        <v>2</v>
      </c>
      <c r="T66" s="241">
        <f>AS37</f>
        <v>1</v>
      </c>
      <c r="U66" s="241">
        <f>AS76</f>
        <v>2</v>
      </c>
      <c r="AK66" s="241" t="s">
        <v>609</v>
      </c>
      <c r="AL66" s="241">
        <f t="shared" ref="AL66:AQ66" si="90">AL64*$G$23</f>
        <v>0.83753839269606445</v>
      </c>
      <c r="AM66" s="241">
        <f t="shared" si="90"/>
        <v>0.3532131601275596</v>
      </c>
      <c r="AN66" s="241">
        <f t="shared" si="90"/>
        <v>0.53623012355101662</v>
      </c>
      <c r="AO66" s="241">
        <f t="shared" si="90"/>
        <v>1.1572626972445961</v>
      </c>
      <c r="AP66" s="241">
        <f t="shared" si="90"/>
        <v>0.97050807557621921</v>
      </c>
      <c r="AQ66" s="241">
        <f t="shared" si="90"/>
        <v>0.78387190719617694</v>
      </c>
      <c r="AS66" s="241">
        <f t="shared" ref="AS66:AX66" si="91">AS64*$G$23</f>
        <v>0.56063537409560016</v>
      </c>
      <c r="AT66" s="241">
        <f t="shared" si="91"/>
        <v>1.1088002920078197</v>
      </c>
      <c r="AU66" s="241">
        <f t="shared" si="91"/>
        <v>0.41593399628785321</v>
      </c>
      <c r="AV66" s="241">
        <f t="shared" si="91"/>
        <v>1.1134979728569747</v>
      </c>
      <c r="AW66" s="241">
        <f t="shared" si="91"/>
        <v>0.39678416079793088</v>
      </c>
      <c r="AX66" s="241">
        <f t="shared" si="91"/>
        <v>0.68750747316941163</v>
      </c>
      <c r="AZ66" s="241">
        <f t="shared" ref="AZ66:BE66" si="92">AZ64*$G$23</f>
        <v>2.6496416657371493</v>
      </c>
      <c r="BA66" s="241">
        <f t="shared" si="92"/>
        <v>2.1798166120172855</v>
      </c>
      <c r="BB66" s="241">
        <f t="shared" si="92"/>
        <v>2.1982449579898589</v>
      </c>
      <c r="BC66" s="241">
        <f t="shared" si="92"/>
        <v>0.44792680411210112</v>
      </c>
      <c r="BD66" s="241">
        <f t="shared" si="92"/>
        <v>2.2328884040475336</v>
      </c>
      <c r="BE66" s="241">
        <f t="shared" si="92"/>
        <v>1.9968589604988976</v>
      </c>
    </row>
    <row r="67" spans="2:57" x14ac:dyDescent="0.2">
      <c r="B67" s="241"/>
      <c r="C67" s="241"/>
      <c r="D67" s="241"/>
      <c r="E67" s="241"/>
      <c r="F67" s="241"/>
      <c r="G67" s="241"/>
      <c r="J67" s="241"/>
      <c r="AK67" s="241"/>
    </row>
    <row r="68" spans="2:57" x14ac:dyDescent="0.2">
      <c r="B68" s="241" t="s">
        <v>500</v>
      </c>
      <c r="C68" s="241">
        <f>IF($C$63&lt;0.1,AS8,IF(AND($C$63&gt;=0.1,$C$63&lt;0.3),AT8,IF(AND($C$63&gt;=0.3,$C$63&lt;0.6),AU8,IF(AND($C$63&gt;=0.6,$C$63&lt;1),AV8,IF(AND($C$63&gt;=1,$C$63&lt;1.5),AW8,IF($C$63&gt;=1.5,AX8,""))))))</f>
        <v>-100</v>
      </c>
      <c r="D68" s="241">
        <f>IF($C$63&lt;0.1,AS40,IF(AND($C$63&gt;=0.1,$C$63&lt;0.3),AT40,IF(AND($C$63&gt;=0.3,$C$63&lt;0.6),AU40,IF(AND($C$63&gt;=0.6,$C$63&lt;1),AV40,IF(AND($C$63&gt;=1,$C$63&lt;1.5),AW40,IF($C$63&gt;=1.5,AX40,""))))))</f>
        <v>-100</v>
      </c>
      <c r="E68" s="241">
        <f>IF($C$63&lt;0.1,AS79,IF(AND($C$63&gt;=0.1,$C$63&lt;0.3),AT79,IF(AND($C$63&gt;=0.3,$C$63&lt;0.6),AU79,IF(AND($C$63&gt;=0.6,$C$63&lt;1),AV79,IF(AND($C$63&gt;=1,$C$63&lt;1.5),AW79,IF($C$63&gt;=1.5,AX79,""))))))</f>
        <v>-92</v>
      </c>
      <c r="F68" s="241"/>
      <c r="G68" s="241">
        <f>(C68*$C$66*$H$22+D68*$D$66*$H$23+E68*$E$66*$H$24)/($C$66*$H$22+$D$66*$H$23+$E$66*$H$24)</f>
        <v>-97.982353270734848</v>
      </c>
      <c r="J68" s="241" t="s">
        <v>500</v>
      </c>
      <c r="K68" s="241">
        <f>IF($K$63&lt;0.1,AS8,IF(AND($K$63&gt;=0.1,$K$63&lt;0.3),AT8,IF(AND($K$63&gt;=0.3,$K$63&lt;0.6),AU8,IF(AND($K$63&gt;=0.6,$K$63&lt;1),AV8,IF(AND($K$63&gt;=1,$K$63&lt;1.5),AW8,IF($K$63&gt;=1.5,AX8,""))))))</f>
        <v>-100</v>
      </c>
      <c r="L68">
        <f>IF($K$63&lt;0.1,AS40,IF(AND($K$63&gt;=0.1,$K$63&lt;0.3),AT40,IF(AND($K$63&gt;=0.3,$K$63&lt;0.6),AU40,IF(AND($K$63&gt;=0.6,$K$63&lt;1),AV40,IF(AND($K$63&gt;=1,$K$63&lt;1.5),AW40,IF($K$63&gt;=1.5,AX40,""))))))</f>
        <v>-100</v>
      </c>
      <c r="M68">
        <f>IF($K$63&lt;0.1,AS79,IF(AND($K$63&gt;=0.1,$K$63&lt;0.3),AT79,IF(AND($K$63&gt;=0.3,$K$63&lt;0.6),AU79,IF(AND($K$63&gt;=0.6,$K$63&lt;1),AV79,IF(AND($K$63&gt;=1,$K$63&lt;1.5),AW79,IF($K$63&gt;=1.5,AX79,""))))))</f>
        <v>-92</v>
      </c>
      <c r="O68" s="241">
        <f>(K68*$K$66*$H$22+L68*$L$66*$H$23+M68*$M$66*$H$24)/($K$66*$H$22+$L$66*$H$23+$M$66*$H$24)</f>
        <v>-97.982353270734848</v>
      </c>
      <c r="R68" s="241" t="s">
        <v>500</v>
      </c>
      <c r="S68" s="241">
        <f>IF($S$63&lt;0.1,AS8,IF(AND($S$63&gt;=0.1,$S$63&lt;0.3),AT8,IF(AND($S$63&gt;=0.3,$S$63&lt;0.6),AU8,IF(AND($S$63&gt;=0.6,$S$63&lt;1),AV8,IF(AND($S$63&gt;=1,$S$63&lt;1.5),AW8,IF($S$63&gt;=1.5,AX8,""))))))</f>
        <v>-100</v>
      </c>
      <c r="T68" s="241">
        <f>IF($S$63&lt;0.1,AS40,IF(AND($S$63&gt;=0.1,$S$63&lt;0.3),AT40,IF(AND($S$63&gt;=0.3,$S$63&lt;0.6),AU40,IF(AND($S$63&gt;=0.6,$S$63&lt;1),AV40,IF(AND($S$63&gt;=1,$S$63&lt;1.5),AW40,IF($S$63&gt;=1.5,AX40,""))))))</f>
        <v>-100</v>
      </c>
      <c r="U68" s="241">
        <f>IF($S$63&lt;0.1,AS79,IF(AND($S$63&gt;=0.1,$S$63&lt;0.3),AT79,IF(AND($S$63&gt;=0.3,$S$63&lt;0.6),AU79,IF(AND($S$63&gt;=0.6,$S$63&lt;1),AV79,IF(AND($S$63&gt;=1,$S$63&lt;1.5),AW79,IF($S$63&gt;=1.5,AX79,""))))))</f>
        <v>-92</v>
      </c>
      <c r="W68" s="241">
        <f>(S68*$S$66*$H$22+T68*$T$66*$H$23+U68*$U$66*$H$24)/($S$66*$H$22+$T$66*$H$23+$U$66*$H$24)</f>
        <v>-97.982353270734848</v>
      </c>
    </row>
    <row r="69" spans="2:57" x14ac:dyDescent="0.2">
      <c r="B69" s="241" t="s">
        <v>587</v>
      </c>
      <c r="C69" s="241">
        <f>IF($C$63&lt;0.1,AS9,IF(AND($C$63&gt;=0.1,$C$63&lt;0.3),AT9,IF(AND($C$63&gt;=0.3,$C$63&lt;0.6),AU9,IF(AND($C$63&gt;=0.6,$C$63&lt;1),AV9,IF(AND($C$63&gt;=1,$C$63&lt;1.5),AW9,IF($C$63&gt;=1.5,AX9,""))))))</f>
        <v>-73.078512396694208</v>
      </c>
      <c r="D69" s="241">
        <f>IF($C$63&lt;0.1,AS41,IF(AND($C$63&gt;=0.1,$C$63&lt;0.3),AT41,IF(AND($C$63&gt;=0.3,$C$63&lt;0.6),AU41,IF(AND($C$63&gt;=0.6,$C$63&lt;1),AV41,IF(AND($C$63&gt;=1,$C$63&lt;1.5),AW41,IF($C$63&gt;=1.5,AX41,""))))))</f>
        <v>-72</v>
      </c>
      <c r="E69" s="241">
        <f>IF($C$63&lt;0.1,AS80,IF(AND($C$63&gt;=0.1,$C$63&lt;0.3),AT80,IF(AND($C$63&gt;=0.3,$C$63&lt;0.6),AU80,IF(AND($C$63&gt;=0.6,$C$63&lt;1),AV80,IF(AND($C$63&gt;=1,$C$63&lt;1.5),AW80,IF($C$63&gt;=1.5,AX80,""))))))</f>
        <v>-20</v>
      </c>
      <c r="F69" s="241"/>
      <c r="G69" s="241">
        <f t="shared" ref="G69:G72" si="93">(C69*$C$66*$H$22+D69*$D$66*$H$23+E69*$E$66*$H$24)/($C$66*$H$22+$D$66*$H$23+$E$66*$H$24)</f>
        <v>-59.555797967159123</v>
      </c>
      <c r="J69" s="241" t="s">
        <v>587</v>
      </c>
      <c r="K69" s="241">
        <f t="shared" ref="K69:K72" si="94">IF($K$63&lt;0.1,AS9,IF(AND($K$63&gt;=0.1,$K$63&lt;0.3),AT9,IF(AND($K$63&gt;=0.3,$K$63&lt;0.6),AU9,IF(AND($K$63&gt;=0.6,$K$63&lt;1),AV9,IF(AND($K$63&gt;=1,$K$63&lt;1.5),AW9,IF($K$63&gt;=1.5,AX9,""))))))</f>
        <v>-73.078512396694208</v>
      </c>
      <c r="L69" s="241">
        <f t="shared" ref="L69:L72" si="95">IF($K$63&lt;0.1,AS41,IF(AND($K$63&gt;=0.1,$K$63&lt;0.3),AT41,IF(AND($K$63&gt;=0.3,$K$63&lt;0.6),AU41,IF(AND($K$63&gt;=0.6,$K$63&lt;1),AV41,IF(AND($K$63&gt;=1,$K$63&lt;1.5),AW41,IF($K$63&gt;=1.5,AX41,""))))))</f>
        <v>-72</v>
      </c>
      <c r="M69" s="241">
        <f t="shared" ref="M69:M72" si="96">IF($K$63&lt;0.1,AS80,IF(AND($K$63&gt;=0.1,$K$63&lt;0.3),AT80,IF(AND($K$63&gt;=0.3,$K$63&lt;0.6),AU80,IF(AND($K$63&gt;=0.6,$K$63&lt;1),AV80,IF(AND($K$63&gt;=1,$K$63&lt;1.5),AW80,IF($K$63&gt;=1.5,AX80,""))))))</f>
        <v>-20</v>
      </c>
      <c r="N69" s="241"/>
      <c r="O69" s="241">
        <f t="shared" ref="O69:O72" si="97">(K69*$K$66*$H$22+L69*$L$66*$H$23+M69*$M$66*$H$24)/($K$66*$H$22+$L$66*$H$23+$M$66*$H$24)</f>
        <v>-59.555797967159123</v>
      </c>
      <c r="R69" s="241" t="s">
        <v>587</v>
      </c>
      <c r="S69" s="241">
        <f t="shared" ref="S69:S72" si="98">IF($S$63&lt;0.1,AS9,IF(AND($S$63&gt;=0.1,$S$63&lt;0.3),AT9,IF(AND($S$63&gt;=0.3,$S$63&lt;0.6),AU9,IF(AND($S$63&gt;=0.6,$S$63&lt;1),AV9,IF(AND($S$63&gt;=1,$S$63&lt;1.5),AW9,IF($S$63&gt;=1.5,AX9,""))))))</f>
        <v>-73.078512396694208</v>
      </c>
      <c r="T69" s="241">
        <f t="shared" ref="T69:T72" si="99">IF($S$63&lt;0.1,AS41,IF(AND($S$63&gt;=0.1,$S$63&lt;0.3),AT41,IF(AND($S$63&gt;=0.3,$S$63&lt;0.6),AU41,IF(AND($S$63&gt;=0.6,$S$63&lt;1),AV41,IF(AND($S$63&gt;=1,$S$63&lt;1.5),AW41,IF($S$63&gt;=1.5,AX41,""))))))</f>
        <v>-72</v>
      </c>
      <c r="U69" s="241">
        <f t="shared" ref="U69:U72" si="100">IF($S$63&lt;0.1,AS80,IF(AND($S$63&gt;=0.1,$S$63&lt;0.3),AT80,IF(AND($S$63&gt;=0.3,$S$63&lt;0.6),AU80,IF(AND($S$63&gt;=0.6,$S$63&lt;1),AV80,IF(AND($S$63&gt;=1,$S$63&lt;1.5),AW80,IF($S$63&gt;=1.5,AX80,""))))))</f>
        <v>-20</v>
      </c>
      <c r="W69" s="241">
        <f t="shared" ref="W69:W72" si="101">(S69*$S$66*$H$22+T69*$T$66*$H$23+U69*$U$66*$H$24)/($S$66*$H$22+$T$66*$H$23+$U$66*$H$24)</f>
        <v>-59.555797967159123</v>
      </c>
    </row>
    <row r="70" spans="2:57" x14ac:dyDescent="0.2">
      <c r="B70" s="241" t="s">
        <v>588</v>
      </c>
      <c r="C70" s="241">
        <f>IF($C$63&lt;0.1,AS10,IF(AND($C$63&gt;=0.1,$C$63&lt;0.3),AT10,IF(AND($C$63&gt;=0.3,$C$63&lt;0.6),AU10,IF(AND($C$63&gt;=0.6,$C$63&lt;1),AV10,IF(AND($C$63&gt;=1,$C$63&lt;1.5),AW10,IF($C$63&gt;=1.5,AX10,""))))))</f>
        <v>-40.277777777777786</v>
      </c>
      <c r="D70" s="241">
        <f>IF($C$63&lt;0.1,AS42,IF(AND($C$63&gt;=0.1,$C$63&lt;0.3),AT42,IF(AND($C$63&gt;=0.3,$C$63&lt;0.6),AU42,IF(AND($C$63&gt;=0.6,$C$63&lt;1),AV42,IF(AND($C$63&gt;=1,$C$63&lt;1.5),AW42,IF($C$63&gt;=1.5,AX42,""))))))</f>
        <v>-28.571428571428569</v>
      </c>
      <c r="E70" s="241">
        <f>IF($C$63&lt;0.1,AS81,IF(AND($C$63&gt;=0.1,$C$63&lt;0.3),AT81,IF(AND($C$63&gt;=0.3,$C$63&lt;0.6),AU81,IF(AND($C$63&gt;=0.6,$C$63&lt;1),AV81,IF(AND($C$63&gt;=1,$C$63&lt;1.5),AW81,IF($C$63&gt;=1.5,AX81,""))))))</f>
        <v>-9.0909090909090846</v>
      </c>
      <c r="F70" s="241"/>
      <c r="G70" s="241">
        <f t="shared" si="93"/>
        <v>-30.936062503278368</v>
      </c>
      <c r="J70" s="241" t="s">
        <v>588</v>
      </c>
      <c r="K70" s="241">
        <f t="shared" si="94"/>
        <v>-40.277777777777786</v>
      </c>
      <c r="L70" s="241">
        <f t="shared" si="95"/>
        <v>-28.571428571428569</v>
      </c>
      <c r="M70" s="241">
        <f>IF($K$63&lt;0.1,AS81,IF(AND($K$63&gt;=0.1,$K$63&lt;0.3),AT81,IF(AND($K$63&gt;=0.3,$K$63&lt;0.6),AU81,IF(AND($K$63&gt;=0.6,$K$63&lt;1),AV81,IF(AND($K$63&gt;=1,$K$63&lt;1.5),AW81,IF($K$63&gt;=1.5,AX81,""))))))</f>
        <v>-9.0909090909090846</v>
      </c>
      <c r="N70" s="241"/>
      <c r="O70" s="241">
        <f t="shared" si="97"/>
        <v>-30.936062503278368</v>
      </c>
      <c r="R70" s="241" t="s">
        <v>588</v>
      </c>
      <c r="S70" s="241">
        <f t="shared" si="98"/>
        <v>-40.277777777777786</v>
      </c>
      <c r="T70" s="241">
        <f t="shared" si="99"/>
        <v>-28.571428571428569</v>
      </c>
      <c r="U70" s="241">
        <f t="shared" si="100"/>
        <v>-9.0909090909090846</v>
      </c>
      <c r="W70" s="241">
        <f t="shared" si="101"/>
        <v>-30.936062503278368</v>
      </c>
    </row>
    <row r="71" spans="2:57" x14ac:dyDescent="0.2">
      <c r="B71" s="241" t="s">
        <v>589</v>
      </c>
      <c r="C71" s="241">
        <f>IF($C$63&lt;0.1,AS11,IF(AND($C$63&gt;=0.1,$C$63&lt;0.3),AT11,IF(AND($C$63&gt;=0.3,$C$63&lt;0.6),AU11,IF(AND($C$63&gt;=0.6,$C$63&lt;1),AV11,IF(AND($C$63&gt;=1,$C$63&lt;1.5),AW11,IF($C$63&gt;=1.5,AX11,""))))))</f>
        <v>-25.75</v>
      </c>
      <c r="D71" s="241">
        <f>IF($C$63&lt;0.1,AS43,IF(AND($C$63&gt;=0.1,$C$63&lt;0.3),AT43,IF(AND($C$63&gt;=0.3,$C$63&lt;0.6),AU43,IF(AND($C$63&gt;=0.6,$C$63&lt;1),AV43,IF(AND($C$63&gt;=1,$C$63&lt;1.5),AW43,IF($C$63&gt;=1.5,AX43,""))))))</f>
        <v>0</v>
      </c>
      <c r="E71" s="241">
        <f>IF($C$63&lt;0.1,AS82,IF(AND($C$63&gt;=0.1,$C$63&lt;0.3),AT82,IF(AND($C$63&gt;=0.3,$C$63&lt;0.6),AU82,IF(AND($C$63&gt;=0.6,$C$63&lt;1),AV82,IF(AND($C$63&gt;=1,$C$63&lt;1.5),AW82,IF($C$63&gt;=1.5,AX82,""))))))</f>
        <v>0</v>
      </c>
      <c r="F71" s="241"/>
      <c r="G71" s="241">
        <f t="shared" si="93"/>
        <v>-16.008549385266711</v>
      </c>
      <c r="J71" s="241" t="s">
        <v>589</v>
      </c>
      <c r="K71" s="241">
        <f t="shared" si="94"/>
        <v>-25.75</v>
      </c>
      <c r="L71" s="241">
        <f t="shared" si="95"/>
        <v>0</v>
      </c>
      <c r="M71" s="241">
        <f t="shared" si="96"/>
        <v>0</v>
      </c>
      <c r="N71" s="241"/>
      <c r="O71" s="241">
        <f t="shared" si="97"/>
        <v>-16.008549385266711</v>
      </c>
      <c r="R71" s="241" t="s">
        <v>589</v>
      </c>
      <c r="S71" s="241">
        <f t="shared" si="98"/>
        <v>-25.75</v>
      </c>
      <c r="T71" s="241">
        <f t="shared" si="99"/>
        <v>0</v>
      </c>
      <c r="U71" s="241">
        <f t="shared" si="100"/>
        <v>0</v>
      </c>
      <c r="W71" s="241">
        <f t="shared" si="101"/>
        <v>-16.008549385266711</v>
      </c>
    </row>
    <row r="72" spans="2:57" x14ac:dyDescent="0.2">
      <c r="B72" s="241" t="s">
        <v>501</v>
      </c>
      <c r="C72" s="241">
        <f>IF($C$63&lt;0.1,AS12,IF(AND($C$63&gt;=0.1,$C$63&lt;0.3),AT12,IF(AND($C$63&gt;=0.3,$C$63&lt;0.6),AU12,IF(AND($C$63&gt;=0.6,$C$63&lt;1),AV12,IF(AND($C$63&gt;=1,$C$63&lt;1.5),AW12,IF($C$63&gt;=1.5,AX12,""))))))</f>
        <v>0</v>
      </c>
      <c r="D72" s="241">
        <f>IF($C$63&lt;0.1,AS44,IF(AND($C$63&gt;=0.1,$C$63&lt;0.3),AT44,IF(AND($C$63&gt;=0.3,$C$63&lt;0.6),AU44,IF(AND($C$63&gt;=0.6,$C$63&lt;1),AV44,IF(AND($C$63&gt;=1,$C$63&lt;1.5),AW44,IF($C$63&gt;=1.5,AX44,""))))))</f>
        <v>38</v>
      </c>
      <c r="E72" s="241">
        <f>IF($C$63&lt;0.1,AS83,IF(AND($C$63&gt;=0.1,$C$63&lt;0.3),AT83,IF(AND($C$63&gt;=0.3,$C$63&lt;0.6),AU83,IF(AND($C$63&gt;=0.6,$C$63&lt;1),AV83,IF(AND($C$63&gt;=1,$C$63&lt;1.5),AW83,IF($C$63&gt;=1.5,AX83,""))))))</f>
        <v>42</v>
      </c>
      <c r="F72" s="241"/>
      <c r="G72" s="241">
        <f t="shared" si="93"/>
        <v>15.384556310646746</v>
      </c>
      <c r="J72" s="241" t="s">
        <v>501</v>
      </c>
      <c r="K72" s="241">
        <f t="shared" si="94"/>
        <v>0</v>
      </c>
      <c r="L72" s="241">
        <f t="shared" si="95"/>
        <v>38</v>
      </c>
      <c r="M72" s="241">
        <f t="shared" si="96"/>
        <v>42</v>
      </c>
      <c r="N72" s="241"/>
      <c r="O72" s="241">
        <f t="shared" si="97"/>
        <v>15.384556310646746</v>
      </c>
      <c r="R72" s="241" t="s">
        <v>501</v>
      </c>
      <c r="S72" s="241">
        <f t="shared" si="98"/>
        <v>0</v>
      </c>
      <c r="T72" s="241">
        <f t="shared" si="99"/>
        <v>38</v>
      </c>
      <c r="U72" s="241">
        <f t="shared" si="100"/>
        <v>42</v>
      </c>
      <c r="W72" s="241">
        <f t="shared" si="101"/>
        <v>15.384556310646746</v>
      </c>
    </row>
    <row r="74" spans="2:57" x14ac:dyDescent="0.2">
      <c r="AL74" t="s">
        <v>36</v>
      </c>
    </row>
    <row r="75" spans="2:57" x14ac:dyDescent="0.2">
      <c r="B75" s="241" t="s">
        <v>567</v>
      </c>
      <c r="C75" s="365">
        <f>G43</f>
        <v>29.7</v>
      </c>
      <c r="D75" s="241"/>
      <c r="E75" s="241"/>
      <c r="F75" s="241"/>
      <c r="G75" s="241"/>
      <c r="J75" s="241" t="s">
        <v>567</v>
      </c>
      <c r="K75" s="365">
        <f>G44</f>
        <v>39.5</v>
      </c>
      <c r="R75" s="241" t="s">
        <v>567</v>
      </c>
      <c r="S75" s="365">
        <f>G45</f>
        <v>50</v>
      </c>
      <c r="AL75" s="738" t="s">
        <v>565</v>
      </c>
      <c r="AM75" s="738"/>
      <c r="AN75" s="738"/>
      <c r="AO75" s="738"/>
      <c r="AP75" s="738"/>
      <c r="AQ75" s="738"/>
      <c r="AR75" s="330"/>
      <c r="AS75" s="738" t="s">
        <v>566</v>
      </c>
      <c r="AT75" s="738"/>
      <c r="AU75" s="738"/>
      <c r="AV75" s="738"/>
      <c r="AW75" s="738"/>
      <c r="AX75" s="738"/>
      <c r="AY75" s="330"/>
      <c r="AZ75" s="738" t="s">
        <v>567</v>
      </c>
      <c r="BA75" s="738"/>
      <c r="BB75" s="738"/>
      <c r="BC75" s="738"/>
      <c r="BD75" s="738"/>
      <c r="BE75" s="738"/>
    </row>
    <row r="76" spans="2:57" ht="13.5" thickBot="1" x14ac:dyDescent="0.25">
      <c r="B76" s="241"/>
      <c r="C76" s="241"/>
      <c r="D76" s="241"/>
      <c r="E76" s="241"/>
      <c r="F76" s="241"/>
      <c r="G76" s="241"/>
      <c r="J76" s="241"/>
      <c r="AL76" s="739">
        <v>1</v>
      </c>
      <c r="AM76" s="739"/>
      <c r="AN76" s="739"/>
      <c r="AO76" s="739"/>
      <c r="AP76" s="739"/>
      <c r="AQ76" s="739"/>
      <c r="AR76" s="241"/>
      <c r="AS76" s="739">
        <v>2</v>
      </c>
      <c r="AT76" s="739"/>
      <c r="AU76" s="739"/>
      <c r="AV76" s="739"/>
      <c r="AW76" s="739"/>
      <c r="AX76" s="739"/>
      <c r="AY76" s="241"/>
      <c r="AZ76" s="739">
        <v>1</v>
      </c>
      <c r="BA76" s="739"/>
      <c r="BB76" s="739"/>
      <c r="BC76" s="739"/>
      <c r="BD76" s="739"/>
      <c r="BE76" s="739"/>
    </row>
    <row r="77" spans="2:57" ht="13.5" thickBot="1" x14ac:dyDescent="0.25">
      <c r="B77" s="241"/>
      <c r="C77" s="241" t="s">
        <v>33</v>
      </c>
      <c r="D77" s="241" t="s">
        <v>35</v>
      </c>
      <c r="E77" s="241" t="s">
        <v>36</v>
      </c>
      <c r="F77" s="241"/>
      <c r="G77" s="241" t="s">
        <v>607</v>
      </c>
      <c r="J77" s="241"/>
      <c r="K77" s="241" t="s">
        <v>33</v>
      </c>
      <c r="L77" s="241" t="s">
        <v>35</v>
      </c>
      <c r="M77" s="241" t="s">
        <v>36</v>
      </c>
      <c r="N77" s="241"/>
      <c r="O77" s="241" t="s">
        <v>607</v>
      </c>
      <c r="S77" s="241" t="s">
        <v>33</v>
      </c>
      <c r="T77" s="241" t="s">
        <v>35</v>
      </c>
      <c r="U77" s="241" t="s">
        <v>36</v>
      </c>
      <c r="W77" s="241" t="s">
        <v>607</v>
      </c>
      <c r="AL77" s="331" t="s">
        <v>568</v>
      </c>
      <c r="AM77" s="332" t="s">
        <v>569</v>
      </c>
      <c r="AN77" s="333" t="s">
        <v>570</v>
      </c>
      <c r="AO77" s="332" t="s">
        <v>571</v>
      </c>
      <c r="AP77" s="333" t="s">
        <v>572</v>
      </c>
      <c r="AQ77" s="334" t="s">
        <v>573</v>
      </c>
      <c r="AR77" s="332"/>
      <c r="AS77" s="331" t="s">
        <v>574</v>
      </c>
      <c r="AT77" s="335" t="s">
        <v>575</v>
      </c>
      <c r="AU77" s="333" t="s">
        <v>576</v>
      </c>
      <c r="AV77" s="333" t="s">
        <v>577</v>
      </c>
      <c r="AW77" s="333" t="s">
        <v>578</v>
      </c>
      <c r="AX77" s="334" t="s">
        <v>579</v>
      </c>
      <c r="AY77" s="332"/>
      <c r="AZ77" s="331" t="s">
        <v>580</v>
      </c>
      <c r="BA77" s="333" t="s">
        <v>581</v>
      </c>
      <c r="BB77" s="332" t="s">
        <v>582</v>
      </c>
      <c r="BC77" s="333" t="s">
        <v>583</v>
      </c>
      <c r="BD77" s="332" t="s">
        <v>584</v>
      </c>
      <c r="BE77" s="336" t="s">
        <v>585</v>
      </c>
    </row>
    <row r="78" spans="2:57" x14ac:dyDescent="0.2">
      <c r="B78" s="241" t="s">
        <v>14</v>
      </c>
      <c r="C78" s="241">
        <f>AZ5</f>
        <v>1</v>
      </c>
      <c r="D78" s="241">
        <f>AZ37</f>
        <v>2</v>
      </c>
      <c r="E78" s="241">
        <f>AZ76</f>
        <v>1</v>
      </c>
      <c r="F78" s="241"/>
      <c r="G78" s="241"/>
      <c r="J78" s="241" t="s">
        <v>14</v>
      </c>
      <c r="K78" s="241">
        <f>AZ5</f>
        <v>1</v>
      </c>
      <c r="L78" s="241">
        <f>AZ37</f>
        <v>2</v>
      </c>
      <c r="M78" s="241">
        <f>AZ76</f>
        <v>1</v>
      </c>
      <c r="R78" s="241" t="s">
        <v>14</v>
      </c>
      <c r="S78" s="241">
        <f>AZ5</f>
        <v>1</v>
      </c>
      <c r="T78" s="241">
        <f>AZ37</f>
        <v>2</v>
      </c>
      <c r="U78" s="241">
        <f>AZ76</f>
        <v>1</v>
      </c>
      <c r="AK78" t="s">
        <v>586</v>
      </c>
      <c r="AL78">
        <v>-157.37745836637589</v>
      </c>
      <c r="AM78">
        <v>-113.83155594405595</v>
      </c>
      <c r="AN78">
        <v>-183.65918803418805</v>
      </c>
      <c r="AO78">
        <v>-192.51022727272729</v>
      </c>
      <c r="AQ78">
        <v>-70</v>
      </c>
      <c r="AS78">
        <v>-50</v>
      </c>
      <c r="AT78">
        <v>-150.20166320166317</v>
      </c>
      <c r="AU78">
        <v>-68.613974799541808</v>
      </c>
      <c r="AV78">
        <v>-83.70192307692308</v>
      </c>
      <c r="AW78">
        <v>-53.846153846153854</v>
      </c>
      <c r="AX78">
        <v>-176.92307692307691</v>
      </c>
      <c r="AZ78">
        <v>-121.33750000000001</v>
      </c>
      <c r="BA78">
        <v>-137.2774583663759</v>
      </c>
      <c r="BB78">
        <v>-186.40830419580419</v>
      </c>
      <c r="BC78">
        <v>-174.09038461538461</v>
      </c>
    </row>
    <row r="79" spans="2:57" x14ac:dyDescent="0.2">
      <c r="B79" s="241"/>
      <c r="C79" s="241"/>
      <c r="D79" s="241"/>
      <c r="E79" s="241"/>
      <c r="F79" s="241"/>
      <c r="G79" s="241"/>
      <c r="J79" s="241"/>
      <c r="AK79" t="s">
        <v>500</v>
      </c>
      <c r="AL79">
        <v>-90</v>
      </c>
      <c r="AM79">
        <v>-98.148148148148152</v>
      </c>
      <c r="AN79">
        <v>-96.296296296296291</v>
      </c>
      <c r="AO79">
        <v>-92</v>
      </c>
      <c r="AQ79">
        <v>-70</v>
      </c>
      <c r="AS79">
        <v>-92</v>
      </c>
      <c r="AT79">
        <v>-98.148148148148152</v>
      </c>
      <c r="AU79">
        <v>-74.226804123711347</v>
      </c>
      <c r="AV79">
        <v>-61.855670103092784</v>
      </c>
      <c r="AW79">
        <v>-53.846153846153854</v>
      </c>
      <c r="AX79">
        <v>-79</v>
      </c>
      <c r="AZ79">
        <v>-70</v>
      </c>
      <c r="BA79">
        <v>-92</v>
      </c>
      <c r="BB79">
        <v>-98.148148148148152</v>
      </c>
      <c r="BC79">
        <v>-89</v>
      </c>
    </row>
    <row r="80" spans="2:57" x14ac:dyDescent="0.2">
      <c r="B80" s="241" t="s">
        <v>500</v>
      </c>
      <c r="C80" s="241">
        <f>IF($C$75&lt;15,AZ8,IF(AND($C$75&gt;=15,$C$75&lt;30),BA8,IF(AND($C$75&gt;=30,$C$75&lt;45),BB8,IF(AND($C$75&gt;=45,$C$75&lt;60),BC8,IF(AND($C$75&gt;=60,$C$75&lt;75),BD8,IF($C$75&gt;=75,BD8,""))))))</f>
        <v>-98.888888888888886</v>
      </c>
      <c r="D80" s="241">
        <f>IF($C$75&lt;15,AZ40,IF(AND($C$75&gt;=15,$C$75&lt;30),BA40,IF(AND($C$75&gt;=30,$C$75&lt;45),BB40,IF(AND($C$75&gt;=45,$C$75&lt;60),BC40,IF(AND($C$75&gt;=60,$C$75&lt;75),BD40,IF($C$75&gt;=75,BE40,""))))))</f>
        <v>-83.332999999999998</v>
      </c>
      <c r="E80" s="241">
        <f>IF($C$75&lt;15,AZ79,IF(AND($C$75&gt;=15,$C$75&lt;30),BA79,IF(AND($C$75&gt;=30,$C$75&lt;45),BB79,IF(AND($C$75&gt;=45,$C$75&lt;60),BC79,IF(AND($C$75&gt;=60,$C$75&lt;75),BC79,IF($C$75&gt;=75,BC79,""))))))</f>
        <v>-92</v>
      </c>
      <c r="F80" s="241"/>
      <c r="G80" s="241">
        <f>(C80*$C$78*$H$22+D80*$D$78*$H$23+E80*$E$78*$H$24)/($C$78*$H$22+$D$78*$H$23+$E$78*$H$24)</f>
        <v>-91.935446839258987</v>
      </c>
      <c r="J80" s="241" t="s">
        <v>500</v>
      </c>
      <c r="K80" s="241">
        <f>IF($K$75&lt;15,AZ8,IF(AND($K$75&gt;=15,$K$75&lt;30),BA8,IF(AND($K$75&gt;=30,$K$75&lt;45),BB8,IF(AND($K$75&gt;=45,$K$75&lt;60),BC8,IF(AND($K$75&gt;=60,$K$75&lt;75),BD8,IF($K$75&gt;=75,BD8,""))))))</f>
        <v>-95.294117647058812</v>
      </c>
      <c r="L80" s="241">
        <f>IF($K$75&lt;15,AZ40,IF(AND($K$75&gt;=15,$K$75&lt;30),BA40,IF(AND($K$75&gt;=30,$K$75&lt;45),BB40,IF(AND($K$75&gt;=45,$K$75&lt;60),BC40,IF(AND($K$75&gt;=60,$K$75&lt;75),BD40,IF($K$75&gt;=75,BE40,""))))))</f>
        <v>-100</v>
      </c>
      <c r="M80" s="241">
        <f>IF($K$75&lt;15,AZ79,IF(AND($K$75&gt;=15,$K$75&lt;30),BA79,IF(AND($K$75&gt;=30,$K$75&lt;45),BB79,IF(AND($K$75&gt;=45,$K$75&lt;60),BC79,IF(AND($K$75&gt;=60,$K$75&lt;75),BC79,IF($K$75&gt;=75,BC79,""))))))</f>
        <v>-98.148148148148152</v>
      </c>
      <c r="O80" s="241">
        <f>(K80*$K$78*$H$22+L80*$L$78*$H$23+M80*$M$78*$H$24)/($K$78*$H$22+$L$78*$H$23+$M$78*$H$24)</f>
        <v>-97.538538696627398</v>
      </c>
      <c r="R80" s="241" t="s">
        <v>500</v>
      </c>
      <c r="S80" s="241">
        <f>IF($S$75&lt;15,AZ8,IF(AND($S$75&gt;=15,$S$75&lt;30),BA8,IF(AND($S$75&gt;=30,$S$75&lt;45),BB8,IF(AND($S$75&gt;=45,$S$75&lt;60),BC8,IF(AND($S$75&gt;=60,$S$75&lt;75),BD8,IF($S$75&gt;=75,BD8,""))))))</f>
        <v>-100</v>
      </c>
      <c r="T80" s="241">
        <f>IF($S$75&lt;15,AZ40,IF(AND($S$75&gt;=15,$S$75&lt;30),BA40,IF(AND($S$75&gt;=30,$S$75&lt;45),BB40,IF(AND($S$75&gt;=45,$S$75&lt;60),BC40,IF(AND($S$75&gt;=60,$S$75&lt;75),BD40,IF($S$75&gt;=75,BE40,""))))))</f>
        <v>-90.625000000000014</v>
      </c>
      <c r="U80" s="241">
        <f>IF($S$75&lt;15,AZ79,IF(AND($S$75&gt;=15,$S$75&lt;30),BA79,IF(AND($S$75&gt;=30,$S$75&lt;45),BB79,IF(AND($S$75&gt;=45,$S$75&lt;60),BC79,IF(AND($S$75&gt;=60,$S$75&lt;75),BC79,IF($S$75&gt;=75,BC79,""))))))</f>
        <v>-89</v>
      </c>
      <c r="W80" s="241">
        <f>(S80*$S$78*$H$22+T80*$T$78*$H$23+U80*$U$78*$H$24)/($S$78*$H$22+$T$78*$H$23+$U$78*$H$24)</f>
        <v>-94.556282320227112</v>
      </c>
      <c r="AK80" t="s">
        <v>587</v>
      </c>
      <c r="AL80">
        <v>-64.660983346550353</v>
      </c>
      <c r="AM80">
        <v>-47.692307692307693</v>
      </c>
      <c r="AN80">
        <v>-80.194444444444443</v>
      </c>
      <c r="AO80">
        <v>-81.5</v>
      </c>
      <c r="AQ80">
        <v>-70</v>
      </c>
      <c r="AS80">
        <v>-20</v>
      </c>
      <c r="AT80">
        <v>-82.807692307692307</v>
      </c>
      <c r="AU80">
        <v>-32.445589919816726</v>
      </c>
      <c r="AV80">
        <v>-42.25</v>
      </c>
      <c r="AW80">
        <v>-53.846153846153854</v>
      </c>
      <c r="AX80">
        <v>-70.769230769230759</v>
      </c>
      <c r="AZ80">
        <v>-49.75</v>
      </c>
      <c r="BA80">
        <v>-61.641752577319586</v>
      </c>
      <c r="BB80">
        <v>-79.269230769230774</v>
      </c>
      <c r="BC80">
        <v>-71.34615384615384</v>
      </c>
    </row>
    <row r="81" spans="2:57" x14ac:dyDescent="0.2">
      <c r="B81" s="241" t="s">
        <v>587</v>
      </c>
      <c r="C81" s="241">
        <f>IF($C$75&lt;15,AZ9,IF(AND($C$75&gt;=15,$C$75&lt;30),BA9,IF(AND($C$75&gt;=30,$C$75&lt;45),BB9,IF(AND($C$75&gt;=45,$C$75&lt;60),BC9,IF(AND($C$75&gt;=60,$C$75&lt;75),BD9,IF($C$75&gt;=75,BD9,""))))))</f>
        <v>-74.125</v>
      </c>
      <c r="D81" s="241">
        <f>IF($C$75&lt;15,AZ41,IF(AND($C$75&gt;=15,$C$75&lt;30),BA41,IF(AND($C$75&gt;=30,$C$75&lt;45),BB41,IF(AND($C$75&gt;=45,$C$75&lt;60),BC41,IF(AND($C$75&gt;=60,$C$75&lt;75),BD41,IF($C$75&gt;=75,BE41,""))))))</f>
        <v>-76.51515151515153</v>
      </c>
      <c r="E81" s="241">
        <f>IF($C$75&lt;15,AZ80,IF(AND($C$75&gt;=15,$C$75&lt;30),BA80,IF(AND($C$75&gt;=30,$C$75&lt;45),BB80,IF(AND($C$75&gt;=45,$C$75&lt;60),BC80,IF(AND($C$75&gt;=60,$C$75&lt;75),BC80,IF($C$75&gt;=75,BC80,""))))))</f>
        <v>-61.641752577319586</v>
      </c>
      <c r="F81" s="241"/>
      <c r="G81" s="241">
        <f t="shared" ref="G81:G84" si="102">(C81*$C$78*$H$22+D81*$D$78*$H$23+E81*$E$78*$H$24)/($C$78*$H$22+$D$78*$H$23+$E$78*$H$24)</f>
        <v>-72.715499005879252</v>
      </c>
      <c r="J81" s="241" t="s">
        <v>587</v>
      </c>
      <c r="K81" s="241">
        <f t="shared" ref="K81:K84" si="103">IF($K$75&lt;15,AZ9,IF(AND($K$75&gt;=15,$K$75&lt;30),BA9,IF(AND($K$75&gt;=30,$K$75&lt;45),BB9,IF(AND($K$75&gt;=45,$K$75&lt;60),BC9,IF(AND($K$75&gt;=60,$K$75&lt;75),BD9,IF($K$75&gt;=75,BD9,""))))))</f>
        <v>-88.235294117647058</v>
      </c>
      <c r="L81" s="241">
        <f t="shared" ref="L81:L84" si="104">IF($K$75&lt;15,AZ41,IF(AND($K$75&gt;=15,$K$75&lt;30),BA41,IF(AND($K$75&gt;=30,$K$75&lt;45),BB41,IF(AND($K$75&gt;=45,$K$75&lt;60),BC41,IF(AND($K$75&gt;=60,$K$75&lt;75),BD41,IF($K$75&gt;=75,BE41,""))))))</f>
        <v>-92.171717171717177</v>
      </c>
      <c r="M81" s="241">
        <f t="shared" ref="M81:M84" si="105">IF($K$75&lt;15,AZ80,IF(AND($K$75&gt;=15,$K$75&lt;30),BA80,IF(AND($K$75&gt;=30,$K$75&lt;45),BB80,IF(AND($K$75&gt;=45,$K$75&lt;60),BC80,IF(AND($K$75&gt;=60,$K$75&lt;75),BC80,IF($K$75&gt;=75,BC80,""))))))</f>
        <v>-79.269230769230774</v>
      </c>
      <c r="N81" s="241"/>
      <c r="O81" s="241">
        <f t="shared" ref="O81:O84" si="106">(K81*$K$78*$H$22+L81*$L$78*$H$23+M81*$M$78*$H$24)/($K$78*$H$22+$L$78*$H$23+$M$78*$H$24)</f>
        <v>-88.035254923740396</v>
      </c>
      <c r="R81" s="241" t="s">
        <v>587</v>
      </c>
      <c r="S81" s="241">
        <f t="shared" ref="S81:S84" si="107">IF($S$75&lt;15,AZ9,IF(AND($S$75&gt;=15,$S$75&lt;30),BA9,IF(AND($S$75&gt;=30,$S$75&lt;45),BB9,IF(AND($S$75&gt;=45,$S$75&lt;60),BC9,IF(AND($S$75&gt;=60,$S$75&lt;75),BD9,IF($S$75&gt;=75,BD9,""))))))</f>
        <v>-52.333333333333336</v>
      </c>
      <c r="T81" s="241">
        <f t="shared" ref="T81:T84" si="108">IF($S$75&lt;15,AZ41,IF(AND($S$75&gt;=15,$S$75&lt;30),BA41,IF(AND($S$75&gt;=30,$S$75&lt;45),BB41,IF(AND($S$75&gt;=45,$S$75&lt;60),BC41,IF(AND($S$75&gt;=60,$S$75&lt;75),BD41,IF($S$75&gt;=75,BE41,""))))))</f>
        <v>-8.2499999999999982</v>
      </c>
      <c r="U81" s="241">
        <f t="shared" ref="U81:U84" si="109">IF($S$75&lt;15,AZ80,IF(AND($S$75&gt;=15,$S$75&lt;30),BA80,IF(AND($S$75&gt;=30,$S$75&lt;45),BB80,IF(AND($S$75&gt;=45,$S$75&lt;60),BC80,IF(AND($S$75&gt;=60,$S$75&lt;75),BC80,IF($S$75&gt;=75,BC80,""))))))</f>
        <v>-71.34615384615384</v>
      </c>
      <c r="W81" s="241">
        <f t="shared" ref="W81:W84" si="110">(S81*$S$78*$H$22+T81*$T$78*$H$23+U81*$U$78*$H$24)/($S$78*$H$22+$T$78*$H$23+$U$78*$H$24)</f>
        <v>-39.679416865031243</v>
      </c>
      <c r="AK81" t="s">
        <v>588</v>
      </c>
      <c r="AL81">
        <v>-40</v>
      </c>
      <c r="AM81">
        <v>-22.5</v>
      </c>
      <c r="AN81">
        <v>-30.92307692307692</v>
      </c>
      <c r="AO81">
        <v>-26.5</v>
      </c>
      <c r="AQ81">
        <v>-70</v>
      </c>
      <c r="AS81">
        <v>-9.0909090909090846</v>
      </c>
      <c r="AT81">
        <v>-65.5</v>
      </c>
      <c r="AU81">
        <v>-14.814814814814815</v>
      </c>
      <c r="AV81">
        <v>-31.92307692307692</v>
      </c>
      <c r="AW81">
        <v>-53.846153846153854</v>
      </c>
      <c r="AX81">
        <v>-9.0909090909090846</v>
      </c>
      <c r="AZ81">
        <v>-22.85</v>
      </c>
      <c r="BA81">
        <v>-21.182336182336179</v>
      </c>
      <c r="BB81">
        <v>-38.918918918918919</v>
      </c>
      <c r="BC81">
        <v>-38</v>
      </c>
    </row>
    <row r="82" spans="2:57" x14ac:dyDescent="0.2">
      <c r="B82" s="241" t="s">
        <v>588</v>
      </c>
      <c r="C82" s="241">
        <f>IF($C$75&lt;15,AZ10,IF(AND($C$75&gt;=15,$C$75&lt;30),BA10,IF(AND($C$75&gt;=30,$C$75&lt;45),BB10,IF(AND($C$75&gt;=45,$C$75&lt;60),BC10,IF(AND($C$75&gt;=60,$C$75&lt;75),BD10,IF($C$75&gt;=75,BD10,""))))))</f>
        <v>-60.129629629629626</v>
      </c>
      <c r="D82" s="241">
        <f>IF($C$75&lt;15,AZ42,IF(AND($C$75&gt;=15,$C$75&lt;30),BA42,IF(AND($C$75&gt;=30,$C$75&lt;45),BB42,IF(AND($C$75&gt;=45,$C$75&lt;60),BC42,IF(AND($C$75&gt;=60,$C$75&lt;75),BD42,IF($C$75&gt;=75,BE42,""))))))</f>
        <v>-61.284977908689243</v>
      </c>
      <c r="E82" s="241">
        <f>IF($C$75&lt;15,AZ81,IF(AND($C$75&gt;=15,$C$75&lt;30),BA81,IF(AND($C$75&gt;=30,$C$75&lt;45),BB81,IF(AND($C$75&gt;=45,$C$75&lt;60),BC81,IF(AND($C$75&gt;=60,$C$75&lt;75),BC81,IF($C$75&gt;=75,BC81,""))))))</f>
        <v>-21.182336182336179</v>
      </c>
      <c r="F82" s="241"/>
      <c r="G82" s="241">
        <f t="shared" si="102"/>
        <v>-53.425787941820886</v>
      </c>
      <c r="J82" s="241" t="s">
        <v>588</v>
      </c>
      <c r="K82" s="241">
        <f t="shared" si="103"/>
        <v>-52</v>
      </c>
      <c r="L82" s="241">
        <f t="shared" si="104"/>
        <v>-65.208333333333329</v>
      </c>
      <c r="M82" s="241">
        <f t="shared" si="105"/>
        <v>-38.918918918918919</v>
      </c>
      <c r="N82" s="241"/>
      <c r="O82" s="241">
        <f t="shared" si="106"/>
        <v>-54.440173546970648</v>
      </c>
      <c r="R82" s="241" t="s">
        <v>588</v>
      </c>
      <c r="S82" s="241">
        <f t="shared" si="107"/>
        <v>-38.444444444444443</v>
      </c>
      <c r="T82" s="241">
        <f t="shared" si="108"/>
        <v>10.724137931034484</v>
      </c>
      <c r="U82" s="241">
        <f t="shared" si="109"/>
        <v>-38</v>
      </c>
      <c r="W82" s="241">
        <f t="shared" si="110"/>
        <v>-20.369177472564502</v>
      </c>
      <c r="AK82" t="s">
        <v>589</v>
      </c>
      <c r="AL82">
        <v>-2.8499999999999979</v>
      </c>
      <c r="AM82">
        <v>-3.5994755244755208</v>
      </c>
      <c r="AN82">
        <v>-11.217948717948717</v>
      </c>
      <c r="AO82">
        <v>-7.4931818181818137</v>
      </c>
      <c r="AQ82">
        <v>-70</v>
      </c>
      <c r="AS82">
        <v>0</v>
      </c>
      <c r="AT82">
        <v>-37.878378378378386</v>
      </c>
      <c r="AU82">
        <v>-8.3333333333333321</v>
      </c>
      <c r="AV82">
        <v>-14.615384615384615</v>
      </c>
      <c r="AW82">
        <v>-53.846153846153854</v>
      </c>
      <c r="AX82">
        <v>0</v>
      </c>
      <c r="AZ82">
        <v>-2.0250000000000004</v>
      </c>
      <c r="BA82">
        <v>-11.217948717948717</v>
      </c>
      <c r="BB82">
        <v>-7.8431818181818116</v>
      </c>
      <c r="BC82">
        <v>-2.8499999999999979</v>
      </c>
    </row>
    <row r="83" spans="2:57" x14ac:dyDescent="0.2">
      <c r="B83" s="241" t="s">
        <v>589</v>
      </c>
      <c r="C83" s="241">
        <f>IF($C$75&lt;15,AZ11,IF(AND($C$75&gt;=15,$C$75&lt;30),BA11,IF(AND($C$75&gt;=30,$C$75&lt;45),BB11,IF(AND($C$75&gt;=45,$C$75&lt;60),BC11,IF(AND($C$75&gt;=60,$C$75&lt;75),BD11,IF($C$75&gt;=75,BD11,""))))))</f>
        <v>-30.968688845401172</v>
      </c>
      <c r="D83" s="241">
        <f>IF($C$75&lt;15,AZ43,IF(AND($C$75&gt;=15,$C$75&lt;30),BA43,IF(AND($C$75&gt;=30,$C$75&lt;45),BB43,IF(AND($C$75&gt;=45,$C$75&lt;60),BC43,IF(AND($C$75&gt;=60,$C$75&lt;75),BD43,IF($C$75&gt;=75,BE43,""))))))</f>
        <v>-30.208333333333336</v>
      </c>
      <c r="E83" s="241">
        <f>IF($C$75&lt;15,AZ82,IF(AND($C$75&gt;=15,$C$75&lt;30),BA82,IF(AND($C$75&gt;=30,$C$75&lt;45),BB82,IF(AND($C$75&gt;=45,$C$75&lt;60),BC82,IF(AND($C$75&gt;=60,$C$75&lt;75),BC82,IF($C$75&gt;=75,BC82,""))))))</f>
        <v>-11.217948717948717</v>
      </c>
      <c r="F83" s="241"/>
      <c r="G83" s="241">
        <f t="shared" si="102"/>
        <v>-27.07639389722215</v>
      </c>
      <c r="J83" s="241" t="s">
        <v>589</v>
      </c>
      <c r="K83" s="241">
        <f t="shared" si="103"/>
        <v>-28</v>
      </c>
      <c r="L83" s="241">
        <f t="shared" si="104"/>
        <v>-0.71428571428571441</v>
      </c>
      <c r="M83" s="241">
        <f t="shared" si="105"/>
        <v>-7.8431818181818116</v>
      </c>
      <c r="N83" s="241"/>
      <c r="O83" s="241">
        <f t="shared" si="106"/>
        <v>-14.326067965409045</v>
      </c>
      <c r="R83" s="241" t="s">
        <v>589</v>
      </c>
      <c r="S83" s="241">
        <f t="shared" si="107"/>
        <v>-21.191666666666663</v>
      </c>
      <c r="T83" s="241">
        <f t="shared" si="108"/>
        <v>72</v>
      </c>
      <c r="U83" s="241">
        <f t="shared" si="109"/>
        <v>-2.8499999999999979</v>
      </c>
      <c r="W83" s="241">
        <f t="shared" si="110"/>
        <v>16.269345164980599</v>
      </c>
      <c r="AK83" t="s">
        <v>501</v>
      </c>
      <c r="AL83">
        <v>42</v>
      </c>
      <c r="AM83">
        <v>24.9</v>
      </c>
      <c r="AN83">
        <v>0</v>
      </c>
      <c r="AO83">
        <v>32.867132867132867</v>
      </c>
      <c r="AQ83">
        <v>-70</v>
      </c>
      <c r="AS83">
        <v>42</v>
      </c>
      <c r="AT83">
        <v>0</v>
      </c>
      <c r="AU83">
        <v>0</v>
      </c>
      <c r="AV83">
        <v>-2</v>
      </c>
      <c r="AW83">
        <v>-53.846153846153854</v>
      </c>
      <c r="AX83">
        <v>32.867132867132867</v>
      </c>
      <c r="AZ83">
        <v>0</v>
      </c>
      <c r="BA83">
        <v>32.867132867132867</v>
      </c>
      <c r="BB83">
        <v>24.9</v>
      </c>
      <c r="BC83">
        <v>42</v>
      </c>
    </row>
    <row r="84" spans="2:57" x14ac:dyDescent="0.2">
      <c r="B84" s="241" t="s">
        <v>501</v>
      </c>
      <c r="C84" s="241">
        <f>IF($C$75&lt;15,AZ12,IF(AND($C$75&gt;=15,$C$75&lt;30),BA12,IF(AND($C$75&gt;=30,$C$75&lt;45),BB12,IF(AND($C$75&gt;=45,$C$75&lt;60),BC12,IF(AND($C$75&gt;=60,$C$75&lt;75),BD12,IF($C$75&gt;=75,BD12,""))))))</f>
        <v>0</v>
      </c>
      <c r="D84" s="241">
        <f>IF($C$75&lt;15,AZ44,IF(AND($C$75&gt;=15,$C$75&lt;30),BA44,IF(AND($C$75&gt;=30,$C$75&lt;45),BB44,IF(AND($C$75&gt;=45,$C$75&lt;60),BC44,IF(AND($C$75&gt;=60,$C$75&lt;75),BD44,IF($C$75&gt;=75,BE44,""))))))</f>
        <v>0</v>
      </c>
      <c r="E84" s="241">
        <f>IF($C$75&lt;15,AZ83,IF(AND($C$75&gt;=15,$C$75&lt;30),BA83,IF(AND($C$75&gt;=30,$C$75&lt;45),BB83,IF(AND($C$75&gt;=45,$C$75&lt;60),BC83,IF(AND($C$75&gt;=60,$C$75&lt;75),BC83,IF($C$75&gt;=75,BC83,""))))))</f>
        <v>32.867132867132867</v>
      </c>
      <c r="F84" s="241"/>
      <c r="G84" s="241">
        <f t="shared" si="102"/>
        <v>6.0140972192354969</v>
      </c>
      <c r="J84" s="241" t="s">
        <v>501</v>
      </c>
      <c r="K84" s="241">
        <f t="shared" si="103"/>
        <v>78</v>
      </c>
      <c r="L84" s="241">
        <f t="shared" si="104"/>
        <v>71.428571428571431</v>
      </c>
      <c r="M84" s="241">
        <f t="shared" si="105"/>
        <v>24.9</v>
      </c>
      <c r="N84" s="241"/>
      <c r="O84" s="241">
        <f t="shared" si="106"/>
        <v>65.878742434042294</v>
      </c>
      <c r="R84" s="241" t="s">
        <v>501</v>
      </c>
      <c r="S84" s="241">
        <f t="shared" si="107"/>
        <v>100</v>
      </c>
      <c r="T84" s="241">
        <f t="shared" si="108"/>
        <v>100</v>
      </c>
      <c r="U84" s="241">
        <f t="shared" si="109"/>
        <v>42</v>
      </c>
      <c r="W84" s="241">
        <f t="shared" si="110"/>
        <v>89.387037800778884</v>
      </c>
      <c r="AK84" t="s">
        <v>586</v>
      </c>
      <c r="AL84">
        <v>89.866475019825543</v>
      </c>
      <c r="AM84">
        <v>62.539772727272734</v>
      </c>
      <c r="AN84">
        <v>92.246794871794876</v>
      </c>
      <c r="AO84">
        <v>103.51704545454548</v>
      </c>
      <c r="AQ84">
        <v>-70</v>
      </c>
      <c r="AS84">
        <v>30</v>
      </c>
      <c r="AT84">
        <v>29.515592515592488</v>
      </c>
      <c r="AU84">
        <v>27.835051546391757</v>
      </c>
      <c r="AV84">
        <v>26.836538461538467</v>
      </c>
      <c r="AW84">
        <v>-53.846153846153854</v>
      </c>
      <c r="AX84">
        <v>106.15384615384613</v>
      </c>
      <c r="AZ84">
        <v>69.5625</v>
      </c>
      <c r="BA84">
        <v>64.417757071107587</v>
      </c>
      <c r="BB84">
        <v>99.295891608391628</v>
      </c>
      <c r="BC84">
        <v>99.894230769230774</v>
      </c>
    </row>
    <row r="85" spans="2:57" x14ac:dyDescent="0.2">
      <c r="D85" s="241"/>
    </row>
    <row r="86" spans="2:57" x14ac:dyDescent="0.2">
      <c r="AL86" s="241" t="s">
        <v>590</v>
      </c>
      <c r="AM86" s="241"/>
      <c r="AN86" s="241"/>
      <c r="AO86" s="241"/>
      <c r="AP86" s="241" t="s">
        <v>1018</v>
      </c>
      <c r="AQ86" s="241"/>
      <c r="AS86" s="241" t="s">
        <v>590</v>
      </c>
      <c r="AT86" s="241"/>
      <c r="AU86" s="241"/>
      <c r="AV86" s="241"/>
      <c r="AW86" s="241" t="s">
        <v>1018</v>
      </c>
      <c r="AX86" s="241"/>
      <c r="AZ86" s="241" t="s">
        <v>590</v>
      </c>
      <c r="BA86" s="241"/>
      <c r="BB86" s="241"/>
      <c r="BC86" s="241"/>
      <c r="BD86" s="241" t="s">
        <v>1018</v>
      </c>
      <c r="BE86" s="241"/>
    </row>
    <row r="87" spans="2:57" x14ac:dyDescent="0.2">
      <c r="B87" t="s">
        <v>936</v>
      </c>
      <c r="J87" s="241" t="s">
        <v>936</v>
      </c>
      <c r="K87" s="241"/>
      <c r="R87" s="241" t="s">
        <v>936</v>
      </c>
      <c r="AL87" s="241"/>
      <c r="AM87" s="241" t="s">
        <v>591</v>
      </c>
      <c r="AN87" s="241" t="s">
        <v>592</v>
      </c>
      <c r="AO87" s="241"/>
      <c r="AP87" s="241" t="s">
        <v>1020</v>
      </c>
      <c r="AQ87" s="241" t="s">
        <v>1021</v>
      </c>
      <c r="AS87" s="241"/>
      <c r="AT87" s="241" t="s">
        <v>591</v>
      </c>
      <c r="AU87" s="241" t="s">
        <v>592</v>
      </c>
      <c r="AV87" s="241"/>
      <c r="AW87" s="241" t="s">
        <v>1020</v>
      </c>
      <c r="AX87" s="241" t="s">
        <v>1021</v>
      </c>
      <c r="AZ87" s="241"/>
      <c r="BA87" s="241" t="s">
        <v>591</v>
      </c>
      <c r="BB87" s="241" t="s">
        <v>592</v>
      </c>
      <c r="BC87" s="241"/>
      <c r="BD87" s="241" t="s">
        <v>1020</v>
      </c>
      <c r="BE87" s="241" t="s">
        <v>1021</v>
      </c>
    </row>
    <row r="88" spans="2:57" x14ac:dyDescent="0.2">
      <c r="B88" s="241" t="s">
        <v>500</v>
      </c>
      <c r="C88" s="241">
        <f>AVERAGE(G56,G68,G80)</f>
        <v>-90.449571762597813</v>
      </c>
      <c r="J88" s="241" t="s">
        <v>500</v>
      </c>
      <c r="K88" s="241">
        <f>AVERAGE(O56,O68,O80)</f>
        <v>-97.346357205343125</v>
      </c>
      <c r="R88" s="241" t="s">
        <v>500</v>
      </c>
      <c r="S88" s="241">
        <f>AVERAGE(W56,W68,W80)</f>
        <v>-96.352271746543025</v>
      </c>
      <c r="AL88" s="241" t="s">
        <v>568</v>
      </c>
      <c r="AM88" s="241">
        <v>16</v>
      </c>
      <c r="AN88" s="241">
        <v>36.218800000000002</v>
      </c>
      <c r="AO88" s="241"/>
      <c r="AP88" s="241" t="s">
        <v>507</v>
      </c>
      <c r="AQ88" s="241" t="s">
        <v>1017</v>
      </c>
      <c r="AS88" s="241" t="s">
        <v>574</v>
      </c>
      <c r="AT88" s="241">
        <v>21</v>
      </c>
      <c r="AU88" s="241">
        <v>45.142899999999997</v>
      </c>
      <c r="AV88" s="241"/>
      <c r="AW88" s="241" t="s">
        <v>507</v>
      </c>
      <c r="AX88" s="241" t="s">
        <v>1017</v>
      </c>
      <c r="AZ88" s="241" t="s">
        <v>580</v>
      </c>
      <c r="BA88" s="241">
        <v>4</v>
      </c>
      <c r="BB88" s="241">
        <v>39.625</v>
      </c>
      <c r="BC88" s="241"/>
      <c r="BD88" s="241" t="s">
        <v>507</v>
      </c>
      <c r="BE88" s="241" t="s">
        <v>1017</v>
      </c>
    </row>
    <row r="89" spans="2:57" x14ac:dyDescent="0.2">
      <c r="B89" s="241" t="s">
        <v>587</v>
      </c>
      <c r="C89" s="241">
        <f t="shared" ref="C89:C92" si="111">AVERAGE(G57,G69,G81)</f>
        <v>-71.182952828437848</v>
      </c>
      <c r="E89" s="222"/>
      <c r="J89" s="241" t="s">
        <v>587</v>
      </c>
      <c r="K89" s="241">
        <f t="shared" ref="K89:K92" si="112">AVERAGE(O57,O69,O81)</f>
        <v>-68.639019132617307</v>
      </c>
      <c r="R89" s="241" t="s">
        <v>587</v>
      </c>
      <c r="S89" s="241">
        <f t="shared" ref="S89:S92" si="113">AVERAGE(W57,W69,W81)</f>
        <v>-52.520406446380925</v>
      </c>
      <c r="AL89" s="241" t="s">
        <v>569</v>
      </c>
      <c r="AM89" s="241">
        <v>16</v>
      </c>
      <c r="AN89" s="241">
        <v>37.3125</v>
      </c>
      <c r="AO89" s="241" t="s">
        <v>587</v>
      </c>
      <c r="AP89" s="241">
        <f>MIN(AL80:AQ80)</f>
        <v>-81.5</v>
      </c>
      <c r="AQ89" s="241">
        <f>MAX(AL80:AQ80)</f>
        <v>-47.692307692307693</v>
      </c>
      <c r="AS89" s="241" t="s">
        <v>575</v>
      </c>
      <c r="AT89" s="241">
        <v>30</v>
      </c>
      <c r="AU89" s="241">
        <v>24.1</v>
      </c>
      <c r="AV89" s="241" t="s">
        <v>587</v>
      </c>
      <c r="AW89" s="241">
        <f>MIN(AS80:AX80)</f>
        <v>-82.807692307692307</v>
      </c>
      <c r="AX89" s="241">
        <f>MAX(AS80:AX80)</f>
        <v>-20</v>
      </c>
      <c r="AZ89" s="241" t="s">
        <v>581</v>
      </c>
      <c r="BA89" s="241">
        <v>18</v>
      </c>
      <c r="BB89" s="241">
        <v>33.805599999999998</v>
      </c>
      <c r="BC89" s="241" t="s">
        <v>587</v>
      </c>
      <c r="BD89" s="241">
        <f>MIN(AZ80:BE80)</f>
        <v>-79.269230769230774</v>
      </c>
      <c r="BE89" s="241">
        <f>MAX(AZ80:BE80)</f>
        <v>-49.75</v>
      </c>
    </row>
    <row r="90" spans="2:57" x14ac:dyDescent="0.2">
      <c r="B90" s="241" t="s">
        <v>588</v>
      </c>
      <c r="C90" s="241">
        <f t="shared" si="111"/>
        <v>-55.162019430616674</v>
      </c>
      <c r="E90" s="314"/>
      <c r="J90" s="241" t="s">
        <v>588</v>
      </c>
      <c r="K90" s="241">
        <f t="shared" si="112"/>
        <v>-39.589771896531836</v>
      </c>
      <c r="R90" s="241" t="s">
        <v>588</v>
      </c>
      <c r="S90" s="241">
        <f t="shared" si="113"/>
        <v>-28.232773205063125</v>
      </c>
      <c r="AL90" s="241" t="s">
        <v>570</v>
      </c>
      <c r="AM90" s="241">
        <v>26</v>
      </c>
      <c r="AN90" s="241">
        <v>31.269200000000001</v>
      </c>
      <c r="AO90" s="241" t="s">
        <v>588</v>
      </c>
      <c r="AP90" s="241">
        <f t="shared" ref="AP90:AP91" si="114">MIN(AL81:AQ81)</f>
        <v>-70</v>
      </c>
      <c r="AQ90" s="241">
        <f t="shared" ref="AQ90:AQ91" si="115">MAX(AL81:AQ81)</f>
        <v>-22.5</v>
      </c>
      <c r="AS90" s="241" t="s">
        <v>576</v>
      </c>
      <c r="AT90" s="241">
        <v>4</v>
      </c>
      <c r="AU90" s="241">
        <v>40.375</v>
      </c>
      <c r="AV90" s="241" t="s">
        <v>588</v>
      </c>
      <c r="AW90" s="241">
        <f t="shared" ref="AW90:AW91" si="116">MIN(AS81:AX81)</f>
        <v>-65.5</v>
      </c>
      <c r="AX90" s="241">
        <f t="shared" ref="AX90:AX91" si="117">MAX(AS81:AX81)</f>
        <v>-9.0909090909090846</v>
      </c>
      <c r="AZ90" s="241" t="s">
        <v>582</v>
      </c>
      <c r="BA90" s="241">
        <v>28</v>
      </c>
      <c r="BB90" s="241">
        <v>31.053599999999999</v>
      </c>
      <c r="BC90" s="241" t="s">
        <v>588</v>
      </c>
      <c r="BD90" s="241">
        <f t="shared" ref="BD90:BD91" si="118">MIN(AZ81:BE81)</f>
        <v>-38.918918918918919</v>
      </c>
      <c r="BE90" s="241">
        <f t="shared" ref="BE90:BE91" si="119">MAX(AZ81:BE81)</f>
        <v>-21.182336182336179</v>
      </c>
    </row>
    <row r="91" spans="2:57" x14ac:dyDescent="0.2">
      <c r="B91" s="241" t="s">
        <v>589</v>
      </c>
      <c r="C91" s="241">
        <f t="shared" si="111"/>
        <v>-41.351932487905067</v>
      </c>
      <c r="J91" s="241" t="s">
        <v>589</v>
      </c>
      <c r="K91" s="241">
        <f t="shared" si="112"/>
        <v>-16.302880368619856</v>
      </c>
      <c r="R91" s="241" t="s">
        <v>589</v>
      </c>
      <c r="S91" s="241">
        <f t="shared" si="113"/>
        <v>-6.1044093251566425</v>
      </c>
      <c r="AL91" s="241" t="s">
        <v>571</v>
      </c>
      <c r="AM91" s="241">
        <v>8</v>
      </c>
      <c r="AN91" s="241">
        <v>33.4375</v>
      </c>
      <c r="AO91" s="241" t="s">
        <v>589</v>
      </c>
      <c r="AP91" s="241">
        <f t="shared" si="114"/>
        <v>-70</v>
      </c>
      <c r="AQ91" s="241">
        <f t="shared" si="115"/>
        <v>-2.8499999999999979</v>
      </c>
      <c r="AS91" s="241" t="s">
        <v>577</v>
      </c>
      <c r="AT91" s="241">
        <v>6</v>
      </c>
      <c r="AU91" s="241">
        <v>35.666699999999999</v>
      </c>
      <c r="AV91" s="241" t="s">
        <v>589</v>
      </c>
      <c r="AW91" s="241">
        <f t="shared" si="116"/>
        <v>-53.846153846153854</v>
      </c>
      <c r="AX91" s="241">
        <f t="shared" si="117"/>
        <v>0</v>
      </c>
      <c r="AZ91" s="241" t="s">
        <v>583</v>
      </c>
      <c r="BA91" s="241">
        <v>16</v>
      </c>
      <c r="BB91" s="241">
        <v>35.906300000000002</v>
      </c>
      <c r="BC91" s="241" t="s">
        <v>589</v>
      </c>
      <c r="BD91" s="241">
        <f t="shared" si="118"/>
        <v>-11.217948717948717</v>
      </c>
      <c r="BE91" s="241">
        <f t="shared" si="119"/>
        <v>-2.0250000000000004</v>
      </c>
    </row>
    <row r="92" spans="2:57" x14ac:dyDescent="0.2">
      <c r="B92" s="241" t="s">
        <v>501</v>
      </c>
      <c r="C92" s="241">
        <f t="shared" si="111"/>
        <v>-19.80628232860656</v>
      </c>
      <c r="J92" s="241" t="s">
        <v>501</v>
      </c>
      <c r="K92" s="241">
        <f t="shared" si="112"/>
        <v>34.413368063582844</v>
      </c>
      <c r="R92" s="241" t="s">
        <v>501</v>
      </c>
      <c r="S92" s="241">
        <f t="shared" si="113"/>
        <v>42.249466519161707</v>
      </c>
      <c r="AL92" s="241" t="s">
        <v>573</v>
      </c>
      <c r="AM92" s="241">
        <v>1</v>
      </c>
      <c r="AN92" s="241">
        <v>21</v>
      </c>
      <c r="AO92" s="241" t="s">
        <v>1019</v>
      </c>
      <c r="AP92" s="241">
        <f>(1-6)/(AP89-AQ89)</f>
        <v>0.14789533560864621</v>
      </c>
      <c r="AQ92" s="241">
        <f>1-AP92*AP89</f>
        <v>13.053469852104666</v>
      </c>
      <c r="AS92" s="241" t="s">
        <v>578</v>
      </c>
      <c r="AT92" s="241">
        <v>1</v>
      </c>
      <c r="AU92" s="241">
        <v>24</v>
      </c>
      <c r="AV92" s="241" t="s">
        <v>1019</v>
      </c>
      <c r="AW92" s="241">
        <f>(1-6)/(AW89-AX89)</f>
        <v>7.9608083282302511E-2</v>
      </c>
      <c r="AX92" s="241">
        <f>1-AW92*AW89</f>
        <v>7.5921616656460502</v>
      </c>
      <c r="AZ92" s="241" t="s">
        <v>599</v>
      </c>
      <c r="BA92" s="241"/>
      <c r="BB92" s="241"/>
      <c r="BC92" s="241" t="s">
        <v>1019</v>
      </c>
      <c r="BD92" s="241">
        <f>(1-6)/(BD89-BE89)</f>
        <v>0.16938110749185664</v>
      </c>
      <c r="BE92" s="241">
        <f>1-BD92*BD89</f>
        <v>14.426710097719868</v>
      </c>
    </row>
    <row r="93" spans="2:57" x14ac:dyDescent="0.2">
      <c r="AL93" s="241" t="s">
        <v>600</v>
      </c>
      <c r="AM93" s="241"/>
      <c r="AN93" s="241"/>
      <c r="AO93" s="241" t="s">
        <v>1022</v>
      </c>
      <c r="AP93" s="241">
        <f t="shared" ref="AP93:AP94" si="120">(1-6)/(AP90-AQ90)</f>
        <v>0.10526315789473684</v>
      </c>
      <c r="AQ93" s="241">
        <f t="shared" ref="AQ93:AQ94" si="121">1-AP93*AP90</f>
        <v>8.3684210526315788</v>
      </c>
      <c r="AS93" s="241" t="s">
        <v>579</v>
      </c>
      <c r="AT93" s="241">
        <v>5</v>
      </c>
      <c r="AU93" s="241">
        <v>41.5</v>
      </c>
      <c r="AV93" s="241" t="s">
        <v>1022</v>
      </c>
      <c r="AW93" s="241">
        <f t="shared" ref="AW93:AW94" si="122">(1-6)/(AW90-AX90)</f>
        <v>8.8638195004029002E-2</v>
      </c>
      <c r="AX93" s="241">
        <f t="shared" ref="AX93:AX94" si="123">1-AW93*AW90</f>
        <v>6.8058017727638997</v>
      </c>
      <c r="AZ93" s="241"/>
      <c r="BA93" s="241"/>
      <c r="BB93" s="241"/>
      <c r="BC93" s="241" t="s">
        <v>1022</v>
      </c>
      <c r="BD93" s="241">
        <f t="shared" ref="BD93:BD94" si="124">(1-6)/(BD90-BE90)</f>
        <v>0.28190323210835916</v>
      </c>
      <c r="BE93" s="241">
        <f t="shared" ref="BE93:BE94" si="125">1-BD93*BD90</f>
        <v>11.971369033406411</v>
      </c>
    </row>
    <row r="94" spans="2:57" x14ac:dyDescent="0.2">
      <c r="C94" cm="1">
        <f t="array" ref="C94:D94">'Ausgabe Standortbewertung'!E36:F36</f>
        <v>2158.3388333333332</v>
      </c>
      <c r="D94">
        <v>0</v>
      </c>
      <c r="AL94" s="241"/>
      <c r="AM94" s="241"/>
      <c r="AN94" s="241"/>
      <c r="AO94" s="241" t="s">
        <v>1023</v>
      </c>
      <c r="AP94" s="241">
        <f t="shared" si="120"/>
        <v>7.4460163812360383E-2</v>
      </c>
      <c r="AQ94" s="241">
        <f t="shared" si="121"/>
        <v>6.2122114668652264</v>
      </c>
      <c r="AS94" s="241" t="s">
        <v>601</v>
      </c>
      <c r="AT94" s="241"/>
      <c r="AU94" s="241"/>
      <c r="AV94" s="241" t="s">
        <v>1023</v>
      </c>
      <c r="AW94" s="241">
        <f t="shared" si="122"/>
        <v>9.2857142857142846E-2</v>
      </c>
      <c r="AX94" s="241">
        <f t="shared" si="123"/>
        <v>6</v>
      </c>
      <c r="AZ94" s="241" t="s">
        <v>602</v>
      </c>
      <c r="BA94" s="241"/>
      <c r="BB94" s="241"/>
      <c r="BC94" s="241" t="s">
        <v>1023</v>
      </c>
      <c r="BD94" s="241">
        <f t="shared" si="124"/>
        <v>0.54389512586291056</v>
      </c>
      <c r="BE94" s="241">
        <f t="shared" si="125"/>
        <v>7.1013876298723932</v>
      </c>
    </row>
    <row r="95" spans="2:57" ht="12.75" customHeight="1" x14ac:dyDescent="0.2">
      <c r="B95" s="744" t="s">
        <v>1042</v>
      </c>
      <c r="C95" s="744"/>
      <c r="D95" s="744"/>
      <c r="E95" s="744"/>
      <c r="J95" s="744" t="s">
        <v>1042</v>
      </c>
      <c r="K95" s="744"/>
      <c r="L95" s="744"/>
      <c r="M95" s="744"/>
      <c r="S95" s="744" t="s">
        <v>1042</v>
      </c>
      <c r="T95" s="744"/>
      <c r="U95" s="744"/>
      <c r="V95" s="744"/>
    </row>
    <row r="96" spans="2:57" x14ac:dyDescent="0.2">
      <c r="B96" s="744"/>
      <c r="C96" s="744"/>
      <c r="D96" s="744"/>
      <c r="E96" s="744"/>
      <c r="J96" s="744"/>
      <c r="K96" s="744"/>
      <c r="L96" s="744"/>
      <c r="M96" s="744"/>
      <c r="S96" s="744"/>
      <c r="T96" s="744"/>
      <c r="U96" s="744"/>
      <c r="V96" s="744"/>
    </row>
    <row r="97" spans="2:58" x14ac:dyDescent="0.2">
      <c r="B97" s="241"/>
      <c r="C97" t="s">
        <v>1045</v>
      </c>
      <c r="D97" t="s">
        <v>1044</v>
      </c>
      <c r="E97" t="s">
        <v>1043</v>
      </c>
      <c r="J97" s="241"/>
      <c r="K97" s="241" t="s">
        <v>1045</v>
      </c>
      <c r="L97" s="241" t="s">
        <v>1044</v>
      </c>
      <c r="M97" s="241" t="s">
        <v>1043</v>
      </c>
      <c r="S97" s="241" t="s">
        <v>1045</v>
      </c>
      <c r="T97" s="241" t="s">
        <v>1044</v>
      </c>
      <c r="U97" s="241" t="s">
        <v>1043</v>
      </c>
      <c r="AK97" s="241" t="s">
        <v>603</v>
      </c>
      <c r="AL97" s="241">
        <f>AP92*AL80+AQ92</f>
        <v>3.4904120192815178</v>
      </c>
      <c r="AM97" s="241">
        <f>AP92*AM80+AQ92</f>
        <v>6</v>
      </c>
      <c r="AN97" s="241">
        <f>AP92*AN80+AQ92</f>
        <v>1.1930855770446218</v>
      </c>
      <c r="AO97" s="241">
        <f>AP92*AO80+AQ92</f>
        <v>1</v>
      </c>
      <c r="AP97" s="241"/>
      <c r="AQ97" s="241">
        <f>AP92*AQ80+AQ92</f>
        <v>2.7007963594994315</v>
      </c>
      <c r="AS97" s="241">
        <f>AW92*AS80+AX92</f>
        <v>6</v>
      </c>
      <c r="AT97" s="241">
        <f>AW92*AT80+AX92</f>
        <v>1</v>
      </c>
      <c r="AU97" s="241">
        <f>AW92*AU80+AX92</f>
        <v>5.0092304411658457</v>
      </c>
      <c r="AV97" s="241">
        <f>AW92*AV80+AX92</f>
        <v>4.2287201469687687</v>
      </c>
      <c r="AW97" s="241">
        <f>AW92*AW80+AX92</f>
        <v>3.3055725658297606</v>
      </c>
      <c r="AX97" s="241">
        <f>AW92*AX80+AX92</f>
        <v>1.9583588487446422</v>
      </c>
      <c r="AZ97" s="241">
        <f>BD92*AZ80+BE92</f>
        <v>6</v>
      </c>
      <c r="BA97" s="241">
        <f>BD92*BA80+BE92</f>
        <v>3.9857617784344672</v>
      </c>
      <c r="BB97" s="241">
        <f>BD92*BB80+BE92</f>
        <v>1</v>
      </c>
      <c r="BC97" s="241">
        <f>BD92*BC80+BE92</f>
        <v>2.3420195439739437</v>
      </c>
      <c r="BD97" s="241"/>
      <c r="BE97" s="241"/>
    </row>
    <row r="98" spans="2:58" x14ac:dyDescent="0.2">
      <c r="B98" s="241" t="s">
        <v>500</v>
      </c>
      <c r="C98" s="314">
        <f>$J$14+$J$14*C88/100</f>
        <v>-2.1299758771163191E-2</v>
      </c>
      <c r="D98" s="314">
        <f>$J$15+$J$15*C88/100</f>
        <v>-4.9764090994068422E-2</v>
      </c>
      <c r="E98" s="314">
        <f>$J$16+$J$16*C88/100</f>
        <v>-6.6114930747519063E-2</v>
      </c>
      <c r="J98" s="241" t="s">
        <v>500</v>
      </c>
      <c r="K98" s="314">
        <f>$J$14+$J$14*K88/100</f>
        <v>-5.9182635569859365E-3</v>
      </c>
      <c r="L98" s="314">
        <f>$J$15+$J$15*K88/100</f>
        <v>-1.3827246089540668E-2</v>
      </c>
      <c r="M98" s="314">
        <f>$J$16+$J$16*K88/100</f>
        <v>-1.8370423318851636E-2</v>
      </c>
      <c r="R98" s="241" t="s">
        <v>500</v>
      </c>
      <c r="S98" s="314">
        <f>$J$14+$J$14*S88/100</f>
        <v>-8.1353139283442399E-3</v>
      </c>
      <c r="T98" s="314">
        <f>$J$15+$J$15*S88/100</f>
        <v>-1.9007093317110146E-2</v>
      </c>
      <c r="U98" s="314">
        <f>$J$16+$J$16*S88/100</f>
        <v>-2.5252197584040181E-2</v>
      </c>
      <c r="AK98" s="241" t="s">
        <v>604</v>
      </c>
      <c r="AL98" s="241">
        <f t="shared" ref="AL98:AL99" si="126">AP93*AL81+AQ93</f>
        <v>4.1578947368421053</v>
      </c>
      <c r="AM98" s="241">
        <f t="shared" ref="AM98:AM99" si="127">AP93*AM81+AQ93</f>
        <v>6</v>
      </c>
      <c r="AN98" s="241">
        <f t="shared" ref="AN98:AN99" si="128">AP93*AN81+AQ93</f>
        <v>5.1133603238866403</v>
      </c>
      <c r="AO98" s="241">
        <f t="shared" ref="AO98:AO99" si="129">AP93*AO81+AQ93</f>
        <v>5.5789473684210531</v>
      </c>
      <c r="AP98" s="241"/>
      <c r="AQ98" s="241">
        <f t="shared" ref="AQ98:AQ99" si="130">AP93*AQ81+AQ93</f>
        <v>1</v>
      </c>
      <c r="AS98" s="241">
        <f t="shared" ref="AS98:AS99" si="131">AW93*AS81+AX93</f>
        <v>6</v>
      </c>
      <c r="AT98" s="241">
        <f t="shared" ref="AT98:AT99" si="132">AW93*AT81+AX93</f>
        <v>1</v>
      </c>
      <c r="AU98" s="241">
        <f t="shared" ref="AU98:AU99" si="133">AW93*AU81+AX93</f>
        <v>5.4926433282597662</v>
      </c>
      <c r="AV98" s="241">
        <f t="shared" ref="AV98:AV99" si="134">AW93*AV81+AX93</f>
        <v>3.9761978553275896</v>
      </c>
      <c r="AW98" s="241">
        <f t="shared" ref="AW98:AW99" si="135">AW93*AW81+AX93</f>
        <v>2.0329758879315678</v>
      </c>
      <c r="AX98" s="241">
        <f t="shared" ref="AX98:AX99" si="136">AW93*AX81+AX93</f>
        <v>6</v>
      </c>
      <c r="AZ98" s="241">
        <f t="shared" ref="AZ98:AZ99" si="137">BD93*AZ81+BE93</f>
        <v>5.5298801797304042</v>
      </c>
      <c r="BA98" s="241">
        <f t="shared" ref="BA98:BA99" si="138">BD93*BA81+BE93</f>
        <v>6.0000000000000009</v>
      </c>
      <c r="BB98" s="241">
        <f t="shared" ref="BB98:BB99" si="139">BD93*BB81+BE93</f>
        <v>1</v>
      </c>
      <c r="BC98" s="241">
        <f t="shared" ref="BC98:BC99" si="140">BD93*BC81+BE93</f>
        <v>1.2590462132887623</v>
      </c>
      <c r="BD98" s="241"/>
      <c r="BE98" s="241"/>
    </row>
    <row r="99" spans="2:58" x14ac:dyDescent="0.2">
      <c r="B99" s="241" t="s">
        <v>587</v>
      </c>
      <c r="C99" s="314">
        <f t="shared" ref="C99:C102" si="141">$J$14+$J$14*C89/100</f>
        <v>-6.4268966583896747E-2</v>
      </c>
      <c r="D99" s="314">
        <f t="shared" ref="D99:D102" si="142">$J$15+$J$15*C89/100</f>
        <v>-0.15015600578095734</v>
      </c>
      <c r="E99" s="314">
        <f t="shared" ref="E99:E102" si="143">$J$16+$J$16*C89/100</f>
        <v>-0.19949231916474391</v>
      </c>
      <c r="F99" s="104"/>
      <c r="G99" s="104"/>
      <c r="J99" s="241" t="s">
        <v>587</v>
      </c>
      <c r="K99" s="314">
        <f t="shared" ref="K99:K102" si="144">$J$14+$J$14*K89/100</f>
        <v>-6.9942552385903689E-2</v>
      </c>
      <c r="L99" s="314">
        <f t="shared" ref="L99:L102" si="145">$J$15+$J$15*K89/100</f>
        <v>-0.16341159440743402</v>
      </c>
      <c r="M99" s="314">
        <f t="shared" ref="M99:M102" si="146">$J$16+$J$16*K89/100</f>
        <v>-0.21710325722370638</v>
      </c>
      <c r="R99" s="241" t="s">
        <v>587</v>
      </c>
      <c r="S99" s="314">
        <f t="shared" ref="S99:S102" si="147">$J$14+$J$14*S89/100</f>
        <v>-0.10589094688805781</v>
      </c>
      <c r="T99" s="314">
        <f t="shared" ref="T99:T102" si="148">$J$15+$J$15*S89/100</f>
        <v>-0.24740030030385152</v>
      </c>
      <c r="U99" s="314">
        <f t="shared" ref="U99:U102" si="149">$J$16+$J$16*S89/100</f>
        <v>-0.32868788306520424</v>
      </c>
      <c r="AK99" s="241" t="s">
        <v>605</v>
      </c>
      <c r="AL99" s="241">
        <f t="shared" si="126"/>
        <v>5.9999999999999991</v>
      </c>
      <c r="AM99" s="241">
        <f t="shared" si="127"/>
        <v>5.9441939296741975</v>
      </c>
      <c r="AN99" s="241">
        <f t="shared" si="128"/>
        <v>5.3769211676881064</v>
      </c>
      <c r="AO99" s="241">
        <f t="shared" si="129"/>
        <v>5.6542679212076079</v>
      </c>
      <c r="AP99" s="241"/>
      <c r="AQ99" s="241">
        <f t="shared" si="130"/>
        <v>1</v>
      </c>
      <c r="AS99" s="241">
        <f t="shared" si="131"/>
        <v>6</v>
      </c>
      <c r="AT99" s="241">
        <f t="shared" si="132"/>
        <v>2.4827220077220074</v>
      </c>
      <c r="AU99" s="241">
        <f t="shared" si="133"/>
        <v>5.2261904761904763</v>
      </c>
      <c r="AV99" s="241">
        <f t="shared" si="134"/>
        <v>4.6428571428571432</v>
      </c>
      <c r="AW99" s="241">
        <f t="shared" si="135"/>
        <v>1</v>
      </c>
      <c r="AX99" s="241">
        <f t="shared" si="136"/>
        <v>6</v>
      </c>
      <c r="AZ99" s="241">
        <f t="shared" si="137"/>
        <v>5.9999999999999991</v>
      </c>
      <c r="BA99" s="241">
        <f t="shared" si="138"/>
        <v>1</v>
      </c>
      <c r="BB99" s="241">
        <f t="shared" si="139"/>
        <v>2.8355192677067054</v>
      </c>
      <c r="BC99" s="241">
        <f t="shared" si="140"/>
        <v>5.5512865211630995</v>
      </c>
      <c r="BD99" s="241"/>
      <c r="BE99" s="241"/>
    </row>
    <row r="100" spans="2:58" x14ac:dyDescent="0.2">
      <c r="B100" s="241" t="s">
        <v>588</v>
      </c>
      <c r="C100" s="314">
        <f t="shared" si="141"/>
        <v>-9.9999512710201618E-2</v>
      </c>
      <c r="D100" s="314">
        <f t="shared" si="142"/>
        <v>-0.23363573753756678</v>
      </c>
      <c r="E100" s="314">
        <f t="shared" si="143"/>
        <v>-0.31040073874318169</v>
      </c>
      <c r="F100" s="241"/>
      <c r="G100" s="241"/>
      <c r="J100" s="241" t="s">
        <v>588</v>
      </c>
      <c r="K100" s="314">
        <f t="shared" si="144"/>
        <v>-0.13472938112614083</v>
      </c>
      <c r="L100" s="314">
        <f t="shared" si="145"/>
        <v>-0.31477751715258712</v>
      </c>
      <c r="M100" s="314">
        <f t="shared" si="146"/>
        <v>-0.4182030321803703</v>
      </c>
      <c r="R100" s="241" t="s">
        <v>588</v>
      </c>
      <c r="S100" s="314">
        <f t="shared" si="147"/>
        <v>-0.16005822779977436</v>
      </c>
      <c r="T100" s="314">
        <f t="shared" si="148"/>
        <v>-0.37395504325433782</v>
      </c>
      <c r="U100" s="314">
        <f t="shared" si="149"/>
        <v>-0.49682434248408097</v>
      </c>
      <c r="AK100" s="241" t="s">
        <v>606</v>
      </c>
      <c r="AL100" s="241">
        <f>SUM(AL97:AL99)/3</f>
        <v>4.5494355853745407</v>
      </c>
      <c r="AM100" s="241">
        <f t="shared" ref="AM100:AQ100" si="150">SUM(AM97:AM99)/3</f>
        <v>5.9813979765580667</v>
      </c>
      <c r="AN100" s="241">
        <f t="shared" si="150"/>
        <v>3.8944556895397895</v>
      </c>
      <c r="AO100" s="241">
        <f t="shared" si="150"/>
        <v>4.07773842987622</v>
      </c>
      <c r="AP100" s="241">
        <v>3.5</v>
      </c>
      <c r="AQ100" s="241">
        <f t="shared" si="150"/>
        <v>1.5669321198331438</v>
      </c>
      <c r="AS100" s="241">
        <f>SUM(AS97:AS99)/3</f>
        <v>6</v>
      </c>
      <c r="AT100" s="241">
        <f t="shared" ref="AT100:AX100" si="151">SUM(AT97:AT99)/3</f>
        <v>1.4942406692406689</v>
      </c>
      <c r="AU100" s="241">
        <f t="shared" si="151"/>
        <v>5.2426880818720294</v>
      </c>
      <c r="AV100" s="241">
        <f t="shared" si="151"/>
        <v>4.2825917150511676</v>
      </c>
      <c r="AW100" s="241">
        <f t="shared" si="151"/>
        <v>2.1128494845871093</v>
      </c>
      <c r="AX100" s="241">
        <f t="shared" si="151"/>
        <v>4.6527862829148807</v>
      </c>
      <c r="AZ100" s="241">
        <f>SUM(AZ97:AZ99)/3</f>
        <v>5.8432933932434681</v>
      </c>
      <c r="BA100" s="241">
        <f t="shared" ref="BA100:BC100" si="152">SUM(BA97:BA99)/3</f>
        <v>3.6619205928114895</v>
      </c>
      <c r="BB100" s="241">
        <f t="shared" si="152"/>
        <v>1.611839755902235</v>
      </c>
      <c r="BC100" s="241">
        <f t="shared" si="152"/>
        <v>3.0507840928086019</v>
      </c>
      <c r="BD100" s="241">
        <v>3.5</v>
      </c>
      <c r="BE100" s="241">
        <v>3.5</v>
      </c>
    </row>
    <row r="101" spans="2:58" x14ac:dyDescent="0.2">
      <c r="B101" s="241" t="s">
        <v>589</v>
      </c>
      <c r="C101" s="314">
        <f t="shared" si="141"/>
        <v>-0.13079933793024434</v>
      </c>
      <c r="D101" s="314">
        <f t="shared" si="142"/>
        <v>-0.30559548700321326</v>
      </c>
      <c r="E101" s="314">
        <f t="shared" si="143"/>
        <v>-0.40600408962317891</v>
      </c>
      <c r="F101" s="241"/>
      <c r="G101" s="241"/>
      <c r="J101" s="241" t="s">
        <v>589</v>
      </c>
      <c r="K101" s="314">
        <f t="shared" si="144"/>
        <v>-0.18666476661307352</v>
      </c>
      <c r="L101" s="314">
        <f t="shared" si="145"/>
        <v>-0.43611772935643611</v>
      </c>
      <c r="M101" s="314">
        <f t="shared" si="146"/>
        <v>-0.57941163795401862</v>
      </c>
      <c r="R101" s="241" t="s">
        <v>589</v>
      </c>
      <c r="S101" s="314">
        <f t="shared" si="147"/>
        <v>-0.20940981716585869</v>
      </c>
      <c r="T101" s="314">
        <f t="shared" si="148"/>
        <v>-0.48925855491854991</v>
      </c>
      <c r="U101" s="314">
        <f t="shared" si="149"/>
        <v>-0.65001278692957032</v>
      </c>
      <c r="AK101" s="241"/>
      <c r="AL101" s="241"/>
      <c r="AM101" s="241"/>
      <c r="AN101" s="241"/>
      <c r="AO101" s="241"/>
      <c r="AP101" s="241"/>
      <c r="AQ101" s="241"/>
      <c r="AS101" s="241"/>
      <c r="AT101" s="241"/>
      <c r="AU101" s="241"/>
      <c r="AV101" s="241"/>
      <c r="AW101" s="241"/>
      <c r="AX101" s="241"/>
      <c r="AZ101" s="241"/>
      <c r="BA101" s="241"/>
      <c r="BB101" s="241"/>
      <c r="BC101" s="241"/>
      <c r="BD101" s="241"/>
      <c r="BE101" s="241"/>
    </row>
    <row r="102" spans="2:58" x14ac:dyDescent="0.2">
      <c r="B102" s="241" t="s">
        <v>501</v>
      </c>
      <c r="C102" s="314">
        <f t="shared" si="141"/>
        <v>-0.17885133513427368</v>
      </c>
      <c r="D102" s="314">
        <f t="shared" si="142"/>
        <v>-0.4178626721389182</v>
      </c>
      <c r="E102" s="314">
        <f t="shared" si="143"/>
        <v>-0.55515857073990915</v>
      </c>
      <c r="F102" s="241"/>
      <c r="G102" s="241"/>
      <c r="J102" s="241" t="s">
        <v>501</v>
      </c>
      <c r="K102" s="314">
        <f t="shared" si="144"/>
        <v>-0.29977423464234582</v>
      </c>
      <c r="L102" s="314">
        <f t="shared" si="145"/>
        <v>-0.70038315694991415</v>
      </c>
      <c r="M102" s="314">
        <f t="shared" si="146"/>
        <v>-0.93050597315224093</v>
      </c>
      <c r="R102" s="241" t="s">
        <v>501</v>
      </c>
      <c r="S102" s="314">
        <f t="shared" si="147"/>
        <v>-0.31725062446089441</v>
      </c>
      <c r="T102" s="314">
        <f t="shared" si="148"/>
        <v>-0.74121444816413695</v>
      </c>
      <c r="U102" s="314">
        <f t="shared" si="149"/>
        <v>-0.98475308059527433</v>
      </c>
      <c r="AK102" s="241" t="s">
        <v>607</v>
      </c>
      <c r="AL102" s="241">
        <f t="shared" ref="AL102:AQ102" si="153">7-AL100</f>
        <v>2.4505644146254593</v>
      </c>
      <c r="AM102" s="241">
        <f t="shared" si="153"/>
        <v>1.0186020234419333</v>
      </c>
      <c r="AN102" s="241">
        <f t="shared" si="153"/>
        <v>3.1055443104602105</v>
      </c>
      <c r="AO102" s="241">
        <f t="shared" si="153"/>
        <v>2.92226157012378</v>
      </c>
      <c r="AP102" s="241">
        <f t="shared" si="153"/>
        <v>3.5</v>
      </c>
      <c r="AQ102" s="241">
        <f t="shared" si="153"/>
        <v>5.4330678801668562</v>
      </c>
      <c r="AS102" s="241">
        <f t="shared" ref="AS102:AX102" si="154">7-AS100</f>
        <v>1</v>
      </c>
      <c r="AT102" s="241">
        <f t="shared" si="154"/>
        <v>5.5057593307593313</v>
      </c>
      <c r="AU102" s="241">
        <f t="shared" si="154"/>
        <v>1.7573119181279706</v>
      </c>
      <c r="AV102" s="241">
        <f t="shared" si="154"/>
        <v>2.7174082849488324</v>
      </c>
      <c r="AW102" s="241">
        <f t="shared" si="154"/>
        <v>4.8871505154128911</v>
      </c>
      <c r="AX102" s="241">
        <f t="shared" si="154"/>
        <v>2.3472137170851193</v>
      </c>
      <c r="AZ102" s="241">
        <f t="shared" ref="AZ102:BE102" si="155">7-AZ100</f>
        <v>1.1567066067565319</v>
      </c>
      <c r="BA102" s="241">
        <f t="shared" si="155"/>
        <v>3.3380794071885105</v>
      </c>
      <c r="BB102" s="241">
        <f t="shared" si="155"/>
        <v>5.3881602440977652</v>
      </c>
      <c r="BC102" s="241">
        <f t="shared" si="155"/>
        <v>3.9492159071913981</v>
      </c>
      <c r="BD102" s="241">
        <f t="shared" si="155"/>
        <v>3.5</v>
      </c>
      <c r="BE102" s="241">
        <f t="shared" si="155"/>
        <v>3.5</v>
      </c>
    </row>
    <row r="103" spans="2:58" x14ac:dyDescent="0.2">
      <c r="D103" s="241"/>
      <c r="E103" s="241"/>
      <c r="F103" s="241"/>
      <c r="G103" s="241"/>
      <c r="K103" s="241"/>
      <c r="AK103" s="241" t="s">
        <v>608</v>
      </c>
      <c r="AL103" s="241">
        <f>AL102*$AL$76</f>
        <v>2.4505644146254593</v>
      </c>
      <c r="AM103" s="241">
        <f t="shared" ref="AM103:AO103" si="156">AM102*$AL$76</f>
        <v>1.0186020234419333</v>
      </c>
      <c r="AN103" s="241">
        <f t="shared" si="156"/>
        <v>3.1055443104602105</v>
      </c>
      <c r="AO103" s="241">
        <f t="shared" si="156"/>
        <v>2.92226157012378</v>
      </c>
      <c r="AP103" s="241">
        <f t="shared" ref="AP103:AQ103" si="157">AP102*$AZ$5</f>
        <v>3.5</v>
      </c>
      <c r="AQ103" s="241">
        <f t="shared" si="157"/>
        <v>5.4330678801668562</v>
      </c>
      <c r="AS103" s="241">
        <f>AS102*$AS$76</f>
        <v>2</v>
      </c>
      <c r="AT103" s="241">
        <f t="shared" ref="AT103:AX103" si="158">AT102*$AS$76</f>
        <v>11.011518661518663</v>
      </c>
      <c r="AU103" s="241">
        <f t="shared" si="158"/>
        <v>3.5146238362559412</v>
      </c>
      <c r="AV103" s="241">
        <f t="shared" si="158"/>
        <v>5.4348165698976647</v>
      </c>
      <c r="AW103" s="241">
        <f t="shared" si="158"/>
        <v>9.7743010308257823</v>
      </c>
      <c r="AX103" s="241">
        <f t="shared" si="158"/>
        <v>4.6944274341702386</v>
      </c>
      <c r="AZ103" s="241">
        <f>AZ102*$AZ$76</f>
        <v>1.1567066067565319</v>
      </c>
      <c r="BA103" s="241">
        <f t="shared" ref="BA103:BC103" si="159">BA102*$AZ$76</f>
        <v>3.3380794071885105</v>
      </c>
      <c r="BB103" s="241">
        <f t="shared" si="159"/>
        <v>5.3881602440977652</v>
      </c>
      <c r="BC103" s="241">
        <f t="shared" si="159"/>
        <v>3.9492159071913981</v>
      </c>
      <c r="BD103" s="241">
        <f t="shared" ref="BD103:BE103" si="160">BD102*$AZ$5</f>
        <v>3.5</v>
      </c>
      <c r="BE103" s="241">
        <f t="shared" si="160"/>
        <v>3.5</v>
      </c>
    </row>
    <row r="104" spans="2:58" x14ac:dyDescent="0.2">
      <c r="B104" t="s">
        <v>938</v>
      </c>
      <c r="D104" s="241"/>
      <c r="E104" s="241"/>
      <c r="F104" s="241"/>
      <c r="G104" s="241"/>
      <c r="J104" s="241"/>
      <c r="K104" s="241"/>
      <c r="L104" s="241"/>
      <c r="M104" s="241"/>
    </row>
    <row r="105" spans="2:58" x14ac:dyDescent="0.2">
      <c r="D105" s="241"/>
      <c r="E105" s="241"/>
      <c r="F105" s="241"/>
      <c r="G105" s="241"/>
      <c r="J105" s="241"/>
      <c r="K105" s="241"/>
      <c r="L105" s="241"/>
      <c r="M105" s="241"/>
      <c r="AK105" s="241" t="s">
        <v>609</v>
      </c>
      <c r="AL105" s="241">
        <f t="shared" ref="AL105:AQ105" si="161">AL103*$G$24</f>
        <v>0.54883674325701193</v>
      </c>
      <c r="AM105" s="241">
        <f t="shared" si="161"/>
        <v>0.22812957451123234</v>
      </c>
      <c r="AN105" s="241">
        <f t="shared" si="161"/>
        <v>0.69552826900648046</v>
      </c>
      <c r="AO105" s="241">
        <f t="shared" si="161"/>
        <v>0.65447964294257777</v>
      </c>
      <c r="AP105" s="241">
        <f t="shared" si="161"/>
        <v>0.78387190719617694</v>
      </c>
      <c r="AQ105" s="241">
        <f t="shared" si="161"/>
        <v>1.216808366043624</v>
      </c>
      <c r="AS105" s="241">
        <f t="shared" ref="AS105:AX105" si="162">AS103*$G$24</f>
        <v>0.44792680411210112</v>
      </c>
      <c r="AT105" s="241">
        <f t="shared" si="162"/>
        <v>2.4661771812374078</v>
      </c>
      <c r="AU105" s="241">
        <f t="shared" si="162"/>
        <v>0.78714711131516812</v>
      </c>
      <c r="AV105" s="241">
        <f t="shared" si="162"/>
        <v>1.2172000085448762</v>
      </c>
      <c r="AW105" s="241">
        <f t="shared" si="162"/>
        <v>2.1890857115837039</v>
      </c>
      <c r="AX105" s="241">
        <f t="shared" si="162"/>
        <v>1.0513799388620229</v>
      </c>
      <c r="AZ105" s="241">
        <f t="shared" ref="AZ105:BE105" si="163">AZ103*$G$24</f>
        <v>0.25905994682990313</v>
      </c>
      <c r="BA105" s="241">
        <f t="shared" si="163"/>
        <v>0.74760762036718331</v>
      </c>
      <c r="BB105" s="241">
        <f t="shared" si="163"/>
        <v>1.2067506990912953</v>
      </c>
      <c r="BC105" s="241">
        <f t="shared" si="163"/>
        <v>0.88447983002845754</v>
      </c>
      <c r="BD105" s="241">
        <f t="shared" si="163"/>
        <v>0.78387190719617694</v>
      </c>
      <c r="BE105" s="241">
        <f t="shared" si="163"/>
        <v>0.78387190719617694</v>
      </c>
    </row>
    <row r="106" spans="2:58" x14ac:dyDescent="0.2">
      <c r="B106" s="241"/>
      <c r="C106" s="241" t="s">
        <v>1045</v>
      </c>
      <c r="D106" s="241" t="s">
        <v>1044</v>
      </c>
      <c r="E106" s="241" t="s">
        <v>1043</v>
      </c>
      <c r="F106" s="241"/>
      <c r="G106" s="241"/>
      <c r="H106" s="241"/>
      <c r="I106" s="241"/>
      <c r="J106" s="241"/>
      <c r="K106" s="241" t="s">
        <v>1045</v>
      </c>
      <c r="L106" s="241" t="s">
        <v>1044</v>
      </c>
      <c r="M106" s="241" t="s">
        <v>1043</v>
      </c>
      <c r="N106" s="241"/>
      <c r="O106" s="241"/>
      <c r="S106" s="241" t="s">
        <v>1045</v>
      </c>
      <c r="T106" s="241" t="s">
        <v>1044</v>
      </c>
      <c r="U106" s="241" t="s">
        <v>1043</v>
      </c>
      <c r="AK106" s="241"/>
    </row>
    <row r="107" spans="2:58" x14ac:dyDescent="0.2">
      <c r="B107" s="241" t="s">
        <v>500</v>
      </c>
      <c r="C107" s="314">
        <f>C98</f>
        <v>-2.1299758771163191E-2</v>
      </c>
      <c r="D107" s="314">
        <f t="shared" ref="D107:E107" si="164">D98</f>
        <v>-4.9764090994068422E-2</v>
      </c>
      <c r="E107" s="314">
        <f t="shared" si="164"/>
        <v>-6.6114930747519063E-2</v>
      </c>
      <c r="F107" s="241"/>
      <c r="G107" s="241"/>
      <c r="J107" s="241" t="s">
        <v>500</v>
      </c>
      <c r="K107" s="314">
        <f>K98</f>
        <v>-5.9182635569859365E-3</v>
      </c>
      <c r="L107" s="314">
        <f t="shared" ref="L107:M107" si="165">L98</f>
        <v>-1.3827246089540668E-2</v>
      </c>
      <c r="M107" s="314">
        <f t="shared" si="165"/>
        <v>-1.8370423318851636E-2</v>
      </c>
      <c r="R107" s="241" t="s">
        <v>500</v>
      </c>
      <c r="S107" s="314">
        <f>S98</f>
        <v>-8.1353139283442399E-3</v>
      </c>
      <c r="T107" s="314">
        <f t="shared" ref="T107:U107" si="166">T98</f>
        <v>-1.9007093317110146E-2</v>
      </c>
      <c r="U107" s="314">
        <f t="shared" si="166"/>
        <v>-2.5252197584040181E-2</v>
      </c>
    </row>
    <row r="108" spans="2:58" ht="13.5" thickBot="1" x14ac:dyDescent="0.25">
      <c r="B108" s="241" t="s">
        <v>587</v>
      </c>
      <c r="C108" s="314">
        <f t="shared" ref="C108:E111" si="167">C99</f>
        <v>-6.4268966583896747E-2</v>
      </c>
      <c r="D108" s="314">
        <f t="shared" si="167"/>
        <v>-0.15015600578095734</v>
      </c>
      <c r="E108" s="314">
        <f t="shared" si="167"/>
        <v>-0.19949231916474391</v>
      </c>
      <c r="F108" s="241"/>
      <c r="G108" s="241"/>
      <c r="J108" s="241" t="s">
        <v>587</v>
      </c>
      <c r="K108" s="314">
        <f t="shared" ref="K108:M108" si="168">K99</f>
        <v>-6.9942552385903689E-2</v>
      </c>
      <c r="L108" s="314">
        <f t="shared" si="168"/>
        <v>-0.16341159440743402</v>
      </c>
      <c r="M108" s="314">
        <f t="shared" si="168"/>
        <v>-0.21710325722370638</v>
      </c>
      <c r="R108" s="241" t="s">
        <v>587</v>
      </c>
      <c r="S108" s="314">
        <f t="shared" ref="S108:U108" si="169">S99</f>
        <v>-0.10589094688805781</v>
      </c>
      <c r="T108" s="314">
        <f t="shared" si="169"/>
        <v>-0.24740030030385152</v>
      </c>
      <c r="U108" s="314">
        <f t="shared" si="169"/>
        <v>-0.32868788306520424</v>
      </c>
    </row>
    <row r="109" spans="2:58" ht="13.5" thickBot="1" x14ac:dyDescent="0.25">
      <c r="B109" s="241" t="s">
        <v>588</v>
      </c>
      <c r="C109" s="314">
        <f t="shared" si="167"/>
        <v>-9.9999512710201618E-2</v>
      </c>
      <c r="D109" s="314">
        <f t="shared" si="167"/>
        <v>-0.23363573753756678</v>
      </c>
      <c r="E109" s="314">
        <f t="shared" si="167"/>
        <v>-0.31040073874318169</v>
      </c>
      <c r="F109" s="241"/>
      <c r="G109" s="241"/>
      <c r="J109" s="241" t="s">
        <v>588</v>
      </c>
      <c r="K109" s="314">
        <f t="shared" ref="K109:M109" si="170">K100</f>
        <v>-0.13472938112614083</v>
      </c>
      <c r="L109" s="314">
        <f t="shared" si="170"/>
        <v>-0.31477751715258712</v>
      </c>
      <c r="M109" s="314">
        <f t="shared" si="170"/>
        <v>-0.4182030321803703</v>
      </c>
      <c r="R109" s="241" t="s">
        <v>588</v>
      </c>
      <c r="S109" s="314">
        <f t="shared" ref="S109:U109" si="171">S100</f>
        <v>-0.16005822779977436</v>
      </c>
      <c r="T109" s="314">
        <f t="shared" si="171"/>
        <v>-0.37395504325433782</v>
      </c>
      <c r="U109" s="314">
        <f t="shared" si="171"/>
        <v>-0.49682434248408097</v>
      </c>
      <c r="AL109" s="331" t="s">
        <v>568</v>
      </c>
      <c r="AM109" s="332" t="s">
        <v>569</v>
      </c>
      <c r="AN109" s="333" t="s">
        <v>570</v>
      </c>
      <c r="AO109" s="332" t="s">
        <v>571</v>
      </c>
      <c r="AP109" s="333" t="s">
        <v>572</v>
      </c>
      <c r="AQ109" s="334" t="s">
        <v>573</v>
      </c>
      <c r="AR109" s="332"/>
      <c r="AS109" s="331" t="s">
        <v>574</v>
      </c>
      <c r="AT109" s="335" t="s">
        <v>575</v>
      </c>
      <c r="AU109" s="333" t="s">
        <v>576</v>
      </c>
      <c r="AV109" s="333" t="s">
        <v>577</v>
      </c>
      <c r="AW109" s="333" t="s">
        <v>578</v>
      </c>
      <c r="AX109" s="334" t="s">
        <v>579</v>
      </c>
      <c r="AY109" s="332"/>
      <c r="AZ109" s="331" t="s">
        <v>580</v>
      </c>
      <c r="BA109" s="333" t="s">
        <v>581</v>
      </c>
      <c r="BB109" s="332" t="s">
        <v>582</v>
      </c>
      <c r="BC109" s="333" t="s">
        <v>583</v>
      </c>
      <c r="BD109" s="332" t="s">
        <v>584</v>
      </c>
      <c r="BE109" s="336" t="s">
        <v>585</v>
      </c>
    </row>
    <row r="110" spans="2:58" x14ac:dyDescent="0.2">
      <c r="B110" s="241" t="s">
        <v>589</v>
      </c>
      <c r="C110" s="314">
        <f t="shared" si="167"/>
        <v>-0.13079933793024434</v>
      </c>
      <c r="D110" s="314">
        <f t="shared" si="167"/>
        <v>-0.30559548700321326</v>
      </c>
      <c r="E110" s="314">
        <f t="shared" si="167"/>
        <v>-0.40600408962317891</v>
      </c>
      <c r="F110" s="241"/>
      <c r="G110" s="241"/>
      <c r="J110" s="241" t="s">
        <v>589</v>
      </c>
      <c r="K110" s="314">
        <f t="shared" ref="K110:M110" si="172">K101</f>
        <v>-0.18666476661307352</v>
      </c>
      <c r="L110" s="314">
        <f t="shared" si="172"/>
        <v>-0.43611772935643611</v>
      </c>
      <c r="M110" s="314">
        <f t="shared" si="172"/>
        <v>-0.57941163795401862</v>
      </c>
      <c r="R110" s="241" t="s">
        <v>589</v>
      </c>
      <c r="S110" s="314">
        <f t="shared" ref="S110:U110" si="173">S101</f>
        <v>-0.20940981716585869</v>
      </c>
      <c r="T110" s="314">
        <f t="shared" si="173"/>
        <v>-0.48925855491854991</v>
      </c>
      <c r="U110" s="314">
        <f t="shared" si="173"/>
        <v>-0.65001278692957032</v>
      </c>
      <c r="AK110" s="172" t="s">
        <v>610</v>
      </c>
      <c r="AL110">
        <f t="shared" ref="AL110:AP110" si="174">AL105+AL66+AL33</f>
        <v>2.2063369805171464</v>
      </c>
      <c r="AM110" s="241">
        <f t="shared" si="174"/>
        <v>1.4830749679207913</v>
      </c>
      <c r="AN110" s="241">
        <f t="shared" si="174"/>
        <v>2.9517194566014666</v>
      </c>
      <c r="AO110" s="241">
        <f t="shared" si="174"/>
        <v>3.4064092551223228</v>
      </c>
      <c r="AP110" s="241">
        <f t="shared" si="174"/>
        <v>2.7550019539188941</v>
      </c>
      <c r="AQ110" s="241">
        <f>AQ105+AQ66+AQ33</f>
        <v>5.3131194485671944</v>
      </c>
      <c r="AS110" s="241">
        <f t="shared" ref="AS110:AX110" si="175">AS105+AS66+AS33</f>
        <v>5.4090960472347849</v>
      </c>
      <c r="AT110" s="241">
        <f t="shared" si="175"/>
        <v>8.1415883793382715</v>
      </c>
      <c r="AU110" s="241">
        <f t="shared" si="175"/>
        <v>7.4603395508911365</v>
      </c>
      <c r="AV110" s="241">
        <f t="shared" si="175"/>
        <v>7.3404134064714102</v>
      </c>
      <c r="AW110" s="241">
        <f t="shared" si="175"/>
        <v>3.6900162641574328</v>
      </c>
      <c r="AX110" s="241">
        <f t="shared" si="175"/>
        <v>5.4606109077360685</v>
      </c>
      <c r="AZ110" s="241">
        <f t="shared" ref="AZ110:BE110" si="176">AZ105+AZ66+AZ33</f>
        <v>3.4607748084549512</v>
      </c>
      <c r="BA110" s="241">
        <f t="shared" si="176"/>
        <v>5.3164008462907759</v>
      </c>
      <c r="BB110" s="241">
        <f t="shared" si="176"/>
        <v>5.9436257603083487</v>
      </c>
      <c r="BC110" s="241">
        <f t="shared" si="176"/>
        <v>2.6681383364247617</v>
      </c>
      <c r="BD110" s="241">
        <f>BD105+BD66+BD33</f>
        <v>6.2037273307754397</v>
      </c>
      <c r="BE110" s="241">
        <f t="shared" si="176"/>
        <v>4.7129870533027205</v>
      </c>
    </row>
    <row r="111" spans="2:58" x14ac:dyDescent="0.2">
      <c r="B111" s="241" t="s">
        <v>501</v>
      </c>
      <c r="C111" s="314">
        <f t="shared" si="167"/>
        <v>-0.17885133513427368</v>
      </c>
      <c r="D111" s="314">
        <f t="shared" si="167"/>
        <v>-0.4178626721389182</v>
      </c>
      <c r="E111" s="314">
        <f t="shared" si="167"/>
        <v>-0.55515857073990915</v>
      </c>
      <c r="F111" s="241"/>
      <c r="G111" s="241"/>
      <c r="J111" s="241" t="s">
        <v>501</v>
      </c>
      <c r="K111" s="314">
        <f t="shared" ref="K111:M111" si="177">K102</f>
        <v>-0.29977423464234582</v>
      </c>
      <c r="L111" s="314">
        <f t="shared" si="177"/>
        <v>-0.70038315694991415</v>
      </c>
      <c r="M111" s="314">
        <f t="shared" si="177"/>
        <v>-0.93050597315224093</v>
      </c>
      <c r="R111" s="241" t="s">
        <v>501</v>
      </c>
      <c r="S111" s="314">
        <f t="shared" ref="S111:U111" si="178">S102</f>
        <v>-0.31725062446089441</v>
      </c>
      <c r="T111" s="314">
        <f t="shared" si="178"/>
        <v>-0.74121444816413695</v>
      </c>
      <c r="U111" s="314">
        <f t="shared" si="178"/>
        <v>-0.98475308059527433</v>
      </c>
      <c r="AL111" s="90" t="s">
        <v>568</v>
      </c>
      <c r="AM111" s="90" t="s">
        <v>569</v>
      </c>
      <c r="AN111" s="90" t="s">
        <v>570</v>
      </c>
      <c r="AO111" s="90" t="s">
        <v>571</v>
      </c>
      <c r="AP111" s="90" t="s">
        <v>572</v>
      </c>
      <c r="AQ111" s="90" t="s">
        <v>573</v>
      </c>
      <c r="AS111" s="90" t="s">
        <v>574</v>
      </c>
      <c r="AT111" s="90" t="s">
        <v>575</v>
      </c>
      <c r="AU111" s="90" t="s">
        <v>576</v>
      </c>
      <c r="AV111" s="90" t="s">
        <v>577</v>
      </c>
      <c r="AW111" s="90" t="s">
        <v>578</v>
      </c>
      <c r="AX111" s="90" t="s">
        <v>579</v>
      </c>
      <c r="AZ111" s="90" t="s">
        <v>580</v>
      </c>
      <c r="BA111" s="90" t="s">
        <v>581</v>
      </c>
      <c r="BB111" s="90" t="s">
        <v>582</v>
      </c>
      <c r="BC111" s="90" t="s">
        <v>583</v>
      </c>
      <c r="BD111" s="90" t="s">
        <v>584</v>
      </c>
      <c r="BE111" s="90" t="s">
        <v>585</v>
      </c>
    </row>
    <row r="112" spans="2:58" x14ac:dyDescent="0.2">
      <c r="D112" s="241"/>
      <c r="E112" s="241"/>
      <c r="F112" s="241"/>
      <c r="G112" s="241"/>
      <c r="K112" s="241"/>
      <c r="AK112" t="s">
        <v>501</v>
      </c>
      <c r="AL112" s="740">
        <f>MAX(AL110:AQ110)</f>
        <v>5.3131194485671944</v>
      </c>
      <c r="AM112" s="740"/>
      <c r="AN112" s="740"/>
      <c r="AO112" s="740"/>
      <c r="AP112" s="740"/>
      <c r="AQ112" s="740"/>
      <c r="AS112" s="740">
        <f>MAX(AS110:AX110)</f>
        <v>8.1415883793382715</v>
      </c>
      <c r="AT112" s="740"/>
      <c r="AU112" s="740"/>
      <c r="AV112" s="740"/>
      <c r="AW112" s="740"/>
      <c r="AX112" s="740"/>
      <c r="AZ112" s="740">
        <f>MAX(AZ110:BE110)</f>
        <v>6.2037273307754397</v>
      </c>
      <c r="BA112" s="740"/>
      <c r="BB112" s="740"/>
      <c r="BC112" s="740"/>
      <c r="BD112" s="740"/>
      <c r="BE112" s="740"/>
      <c r="BF112" s="408">
        <f>AZ112+AS112+AL112+1.5*G22</f>
        <v>20.486544952512755</v>
      </c>
    </row>
    <row r="113" spans="2:52" x14ac:dyDescent="0.2">
      <c r="B113" t="s">
        <v>939</v>
      </c>
      <c r="J113" s="241" t="s">
        <v>939</v>
      </c>
      <c r="K113" s="241"/>
      <c r="L113" s="241"/>
      <c r="M113" s="241"/>
      <c r="R113" s="241" t="s">
        <v>939</v>
      </c>
      <c r="AK113" t="s">
        <v>922</v>
      </c>
      <c r="AL113" t="str">
        <f>HLOOKUP(AL112,AL110:AQ111,2,FALSE)</f>
        <v>&gt;140</v>
      </c>
      <c r="AR113" s="241" t="s">
        <v>922</v>
      </c>
      <c r="AS113" s="241" t="str">
        <f>HLOOKUP(AS112,AS110:AX111,2,FALSE)</f>
        <v>0,1-0,3</v>
      </c>
      <c r="AY113" s="241" t="s">
        <v>922</v>
      </c>
      <c r="AZ113" s="241" t="str">
        <f>HLOOKUP(AZ112,AZ110:BE111,2,FALSE)</f>
        <v>60-75</v>
      </c>
    </row>
    <row r="114" spans="2:52" x14ac:dyDescent="0.2">
      <c r="J114" s="241"/>
      <c r="K114" s="241"/>
      <c r="L114" s="241"/>
      <c r="M114" s="241"/>
    </row>
    <row r="115" spans="2:52" x14ac:dyDescent="0.2">
      <c r="C115" s="241" t="s">
        <v>472</v>
      </c>
      <c r="D115" s="241" t="s">
        <v>542</v>
      </c>
      <c r="E115" s="241" t="s">
        <v>502</v>
      </c>
      <c r="F115" s="241"/>
      <c r="G115" s="241"/>
      <c r="H115" s="241"/>
      <c r="I115" s="241"/>
      <c r="J115" s="241"/>
      <c r="K115" s="241" t="s">
        <v>472</v>
      </c>
      <c r="L115" s="241" t="s">
        <v>542</v>
      </c>
      <c r="M115" s="241" t="s">
        <v>502</v>
      </c>
      <c r="N115" s="241"/>
      <c r="O115" s="241"/>
      <c r="S115" s="241" t="s">
        <v>472</v>
      </c>
      <c r="T115" s="241" t="s">
        <v>542</v>
      </c>
      <c r="U115" s="241" t="s">
        <v>502</v>
      </c>
    </row>
    <row r="116" spans="2:52" x14ac:dyDescent="0.2">
      <c r="B116" s="241" t="s">
        <v>500</v>
      </c>
      <c r="C116" s="353">
        <f>'Ausgabe Standortbewertung'!$E$36+'Ausgabe Standortbewertung'!$E$36*'Berechnung-WÜ-Material'!C98</f>
        <v>2112.3667368368992</v>
      </c>
      <c r="D116" s="353">
        <f>'Ausgabe Standortbewertung'!$E$36+'Ausgabe Standortbewertung'!$E$36*'Berechnung-WÜ-Material'!D98</f>
        <v>2050.9310632353017</v>
      </c>
      <c r="E116" s="353">
        <f>'Ausgabe Standortbewertung'!$E$36+'Ausgabe Standortbewertung'!$E$36*'Berechnung-WÜ-Material'!E98</f>
        <v>2015.6404108378188</v>
      </c>
      <c r="J116" s="241" t="s">
        <v>500</v>
      </c>
      <c r="K116" s="353">
        <f>'Ausgabe Standortbewertung'!$E$36+'Ausgabe Standortbewertung'!$E$36*'Berechnung-WÜ-Material'!K98</f>
        <v>2145.5652152723892</v>
      </c>
      <c r="L116" s="353">
        <f>'Ausgabe Standortbewertung'!$E$36+'Ausgabe Standortbewertung'!$E$36*'Berechnung-WÜ-Material'!L98</f>
        <v>2128.494951140221</v>
      </c>
      <c r="M116" s="353">
        <f>'Ausgabe Standortbewertung'!$E$36+'Ausgabe Standortbewertung'!$E$36*'Berechnung-WÜ-Material'!M98</f>
        <v>2118.6892352994837</v>
      </c>
      <c r="R116" s="241" t="s">
        <v>500</v>
      </c>
      <c r="S116" s="353">
        <f>'Ausgabe Standortbewertung'!$E$36+'Ausgabe Standortbewertung'!$E$36*'Berechnung-WÜ-Material'!S98</f>
        <v>2140.7800693604304</v>
      </c>
      <c r="T116" s="353">
        <f>'Ausgabe Standortbewertung'!$E$36+'Ausgabe Standortbewertung'!$E$36*'Berechnung-WÜ-Material'!T98</f>
        <v>2117.3150857182241</v>
      </c>
      <c r="U116" s="353">
        <f>'Ausgabe Standortbewertung'!$E$36+'Ausgabe Standortbewertung'!$E$36*'Berechnung-WÜ-Material'!U98</f>
        <v>2103.8360346606933</v>
      </c>
    </row>
    <row r="117" spans="2:52" x14ac:dyDescent="0.2">
      <c r="B117" s="241" t="s">
        <v>587</v>
      </c>
      <c r="C117" s="353">
        <f>'Ausgabe Standortbewertung'!$E$36+'Ausgabe Standortbewertung'!$E$36*'Berechnung-WÜ-Material'!C99</f>
        <v>2019.6246269771066</v>
      </c>
      <c r="D117" s="353">
        <f>'Ausgabe Standortbewertung'!$E$36+'Ausgabe Standortbewertung'!$E$36*'Berechnung-WÜ-Material'!D99</f>
        <v>1834.2512949980685</v>
      </c>
      <c r="E117" s="353">
        <f>'Ausgabe Standortbewertung'!$E$36+'Ausgabe Standortbewertung'!$E$36*'Berechnung-WÜ-Material'!E99</f>
        <v>1727.7668139283389</v>
      </c>
      <c r="J117" s="241" t="s">
        <v>587</v>
      </c>
      <c r="K117" s="353">
        <f>'Ausgabe Standortbewertung'!$E$36+'Ausgabe Standortbewertung'!$E$36*'Berechnung-WÜ-Material'!K99</f>
        <v>2007.3791064163863</v>
      </c>
      <c r="L117" s="353">
        <f>'Ausgabe Standortbewertung'!$E$36+'Ausgabe Standortbewertung'!$E$36*'Berechnung-WÜ-Material'!L99</f>
        <v>1805.6412433068522</v>
      </c>
      <c r="M117" s="353">
        <f>'Ausgabe Standortbewertung'!$E$36+'Ausgabe Standortbewertung'!$E$36*'Berechnung-WÜ-Material'!M99</f>
        <v>1689.7564424242523</v>
      </c>
      <c r="R117" s="241" t="s">
        <v>587</v>
      </c>
      <c r="S117" s="353">
        <f>'Ausgabe Standortbewertung'!$E$36+'Ausgabe Standortbewertung'!$E$36*'Berechnung-WÜ-Material'!S99</f>
        <v>1929.7902905664005</v>
      </c>
      <c r="T117" s="353">
        <f>'Ausgabe Standortbewertung'!$E$36+'Ausgabe Standortbewertung'!$E$36*'Berechnung-WÜ-Material'!T99</f>
        <v>1624.3651578092022</v>
      </c>
      <c r="U117" s="353">
        <f>'Ausgabe Standortbewertung'!$E$36+'Ausgabe Standortbewertung'!$E$36*'Berechnung-WÜ-Material'!U99</f>
        <v>1448.9190112675774</v>
      </c>
    </row>
    <row r="118" spans="2:52" x14ac:dyDescent="0.2">
      <c r="B118" s="241" t="s">
        <v>588</v>
      </c>
      <c r="C118" s="353">
        <f>'Ausgabe Standortbewertung'!$E$36+'Ausgabe Standortbewertung'!$E$36*'Berechnung-WÜ-Material'!C100</f>
        <v>1942.5060017364949</v>
      </c>
      <c r="D118" s="353">
        <f>'Ausgabe Standortbewertung'!$E$36+'Ausgabe Standortbewertung'!$E$36*'Berechnung-WÜ-Material'!D100</f>
        <v>1654.0737481515284</v>
      </c>
      <c r="E118" s="353">
        <f>'Ausgabe Standortbewertung'!$E$36+'Ausgabe Standortbewertung'!$E$36*'Berechnung-WÜ-Material'!E100</f>
        <v>1488.3888650085696</v>
      </c>
      <c r="J118" s="241" t="s">
        <v>588</v>
      </c>
      <c r="K118" s="353">
        <f>'Ausgabe Standortbewertung'!$E$36+'Ausgabe Standortbewertung'!$E$36*'Berechnung-WÜ-Material'!K100</f>
        <v>1867.5471780578164</v>
      </c>
      <c r="L118" s="353">
        <f>'Ausgabe Standortbewertung'!$E$36+'Ausgabe Standortbewertung'!$E$36*'Berechnung-WÜ-Material'!L100</f>
        <v>1478.9422942026549</v>
      </c>
      <c r="M118" s="353">
        <f>'Ausgabe Standortbewertung'!$E$36+'Ausgabe Standortbewertung'!$E$36*'Berechnung-WÜ-Material'!M100</f>
        <v>1255.7149887606904</v>
      </c>
      <c r="R118" s="241" t="s">
        <v>588</v>
      </c>
      <c r="S118" s="353">
        <f>'Ausgabe Standortbewertung'!$E$36+'Ausgabe Standortbewertung'!$E$36*'Berechnung-WÜ-Material'!S100</f>
        <v>1812.8789446785674</v>
      </c>
      <c r="T118" s="353">
        <f>'Ausgabe Standortbewertung'!$E$36+'Ausgabe Standortbewertung'!$E$36*'Berechnung-WÜ-Material'!T100</f>
        <v>1351.2171415566495</v>
      </c>
      <c r="U118" s="353">
        <f>'Ausgabe Standortbewertung'!$E$36+'Ausgabe Standortbewertung'!$E$36*'Berechnung-WÜ-Material'!U100</f>
        <v>1086.0235616046416</v>
      </c>
      <c r="AL118" s="241" t="s">
        <v>804</v>
      </c>
      <c r="AN118" t="s">
        <v>805</v>
      </c>
      <c r="AS118" t="s">
        <v>807</v>
      </c>
      <c r="AZ118" s="241" t="s">
        <v>807</v>
      </c>
    </row>
    <row r="119" spans="2:52" x14ac:dyDescent="0.2">
      <c r="B119" s="241" t="s">
        <v>589</v>
      </c>
      <c r="C119" s="353">
        <f>'Ausgabe Standortbewertung'!$E$36+'Ausgabe Standortbewertung'!$E$36*'Berechnung-WÜ-Material'!C101</f>
        <v>1876.0295429041973</v>
      </c>
      <c r="D119" s="353">
        <f>'Ausgabe Standortbewertung'!$E$36+'Ausgabe Standortbewertung'!$E$36*'Berechnung-WÜ-Material'!D101</f>
        <v>1498.7602264428861</v>
      </c>
      <c r="E119" s="353">
        <f>'Ausgabe Standortbewertung'!$E$36+'Ausgabe Standortbewertung'!$E$36*'Berechnung-WÜ-Material'!E101</f>
        <v>1282.0444402074791</v>
      </c>
      <c r="J119" s="241" t="s">
        <v>589</v>
      </c>
      <c r="K119" s="353">
        <f>'Ausgabe Standortbewertung'!$E$36+'Ausgabe Standortbewertung'!$E$36*'Berechnung-WÜ-Material'!K101</f>
        <v>1755.4530187372332</v>
      </c>
      <c r="L119" s="353">
        <f>'Ausgabe Standortbewertung'!$E$36+'Ausgabe Standortbewertung'!$E$36*'Berechnung-WÜ-Material'!L101</f>
        <v>1217.0490021581804</v>
      </c>
      <c r="M119" s="353">
        <f>'Ausgabe Standortbewertung'!$E$36+'Ausgabe Standortbewertung'!$E$36*'Berechnung-WÜ-Material'!M101</f>
        <v>907.77219465190092</v>
      </c>
      <c r="R119" s="241" t="s">
        <v>589</v>
      </c>
      <c r="S119" s="353">
        <f>'Ausgabe Standortbewertung'!$E$36+'Ausgabe Standortbewertung'!$E$36*'Berechnung-WÜ-Material'!S101</f>
        <v>1706.3614928630273</v>
      </c>
      <c r="T119" s="353">
        <f>'Ausgabe Standortbewertung'!$E$36+'Ausgabe Standortbewertung'!$E$36*'Berechnung-WÜ-Material'!T101</f>
        <v>1102.3530947120776</v>
      </c>
      <c r="U119" s="353">
        <f>'Ausgabe Standortbewertung'!$E$36+'Ausgabe Standortbewertung'!$E$36*'Berechnung-WÜ-Material'!U101</f>
        <v>755.39099314001601</v>
      </c>
      <c r="AL119" t="s">
        <v>806</v>
      </c>
      <c r="AS119" s="241" t="s">
        <v>806</v>
      </c>
      <c r="AZ119" s="241" t="s">
        <v>806</v>
      </c>
    </row>
    <row r="120" spans="2:52" x14ac:dyDescent="0.2">
      <c r="B120" s="241" t="s">
        <v>501</v>
      </c>
      <c r="C120" s="353">
        <f>'Ausgabe Standortbewertung'!$E$36+'Ausgabe Standortbewertung'!$E$36*'Berechnung-WÜ-Material'!C102</f>
        <v>1772.3170513195159</v>
      </c>
      <c r="D120" s="353">
        <f>'Ausgabe Standortbewertung'!$E$36+'Ausgabe Standortbewertung'!$E$36*'Berechnung-WÜ-Material'!D102</f>
        <v>1256.4496010554712</v>
      </c>
      <c r="E120" s="353">
        <f>'Ausgabe Standortbewertung'!$E$36+'Ausgabe Standortbewertung'!$E$36*'Berechnung-WÜ-Material'!E102</f>
        <v>960.11853144755696</v>
      </c>
      <c r="J120" s="241" t="s">
        <v>501</v>
      </c>
      <c r="K120" s="353">
        <f>'Ausgabe Standortbewertung'!$E$36+'Ausgabe Standortbewertung'!$E$36*'Berechnung-WÜ-Material'!K102</f>
        <v>1511.3244614719797</v>
      </c>
      <c r="L120" s="353">
        <f>'Ausgabe Standortbewertung'!$E$36+'Ausgabe Standortbewertung'!$E$36*'Berechnung-WÜ-Material'!L102</f>
        <v>646.67466747573872</v>
      </c>
      <c r="M120" s="353">
        <f>'Ausgabe Standortbewertung'!$E$36+'Ausgabe Standortbewertung'!$E$36*'Berechnung-WÜ-Material'!M102</f>
        <v>149.99165683022761</v>
      </c>
      <c r="R120" s="241" t="s">
        <v>501</v>
      </c>
      <c r="S120" s="353">
        <f>'Ausgabe Standortbewertung'!$E$36+'Ausgabe Standortbewertung'!$E$36*'Berechnung-WÜ-Material'!S102</f>
        <v>1473.6044906601351</v>
      </c>
      <c r="T120" s="353">
        <f>'Ausgabe Standortbewertung'!$E$36+'Ausgabe Standortbewertung'!$E$36*'Berechnung-WÜ-Material'!T102</f>
        <v>558.54690603293943</v>
      </c>
      <c r="U120" s="353">
        <f>'Ausgabe Standortbewertung'!$E$36+'Ausgabe Standortbewertung'!$E$36*'Berechnung-WÜ-Material'!U102</f>
        <v>32.908018239922967</v>
      </c>
    </row>
    <row r="121" spans="2:52" x14ac:dyDescent="0.2">
      <c r="K121" s="241"/>
    </row>
    <row r="122" spans="2:52" x14ac:dyDescent="0.2">
      <c r="B122" s="241" t="s">
        <v>940</v>
      </c>
      <c r="D122" s="241"/>
      <c r="E122" s="241"/>
      <c r="J122" s="241" t="s">
        <v>940</v>
      </c>
      <c r="K122" s="241"/>
      <c r="L122" s="241"/>
      <c r="M122" s="241"/>
      <c r="R122" s="241" t="s">
        <v>940</v>
      </c>
    </row>
    <row r="123" spans="2:52" x14ac:dyDescent="0.2">
      <c r="B123" s="241"/>
      <c r="D123" s="241"/>
      <c r="E123" s="241"/>
      <c r="J123" s="241"/>
      <c r="K123" s="241"/>
      <c r="L123" s="241"/>
      <c r="M123" s="241"/>
    </row>
    <row r="124" spans="2:52" x14ac:dyDescent="0.2">
      <c r="B124" s="241"/>
      <c r="C124" s="241" t="s">
        <v>472</v>
      </c>
      <c r="D124" s="241" t="s">
        <v>542</v>
      </c>
      <c r="E124" s="241" t="s">
        <v>502</v>
      </c>
      <c r="F124" s="241"/>
      <c r="G124" s="241"/>
      <c r="H124" s="241"/>
      <c r="I124" s="241"/>
      <c r="J124" s="241"/>
      <c r="K124" s="241" t="s">
        <v>472</v>
      </c>
      <c r="L124" s="241" t="s">
        <v>542</v>
      </c>
      <c r="M124" s="241" t="s">
        <v>502</v>
      </c>
      <c r="N124" s="241"/>
      <c r="O124" s="241"/>
      <c r="S124" s="241" t="s">
        <v>472</v>
      </c>
      <c r="T124" s="241" t="s">
        <v>542</v>
      </c>
      <c r="U124" s="241" t="s">
        <v>502</v>
      </c>
    </row>
    <row r="125" spans="2:52" x14ac:dyDescent="0.2">
      <c r="B125" s="241" t="s">
        <v>500</v>
      </c>
      <c r="C125" s="353">
        <f>'Ausgabe Standortbewertung'!$E$37+'Ausgabe Standortbewertung'!$E$37*'Berechnung-WÜ-Material'!C98</f>
        <v>1703.5215619652413</v>
      </c>
      <c r="D125" s="353">
        <f>'Ausgabe Standortbewertung'!$E$37+'Ausgabe Standortbewertung'!$E$37*'Berechnung-WÜ-Material'!D98</f>
        <v>1653.9766638994367</v>
      </c>
      <c r="E125" s="353">
        <f>'Ausgabe Standortbewertung'!$E$37+'Ausgabe Standortbewertung'!$E$37*'Berechnung-WÜ-Material'!E98</f>
        <v>1625.5164603530795</v>
      </c>
      <c r="J125" s="241" t="s">
        <v>500</v>
      </c>
      <c r="K125" s="353">
        <f>'Ausgabe Standortbewertung'!$E$37+'Ausgabe Standortbewertung'!$E$37*'Berechnung-WÜ-Material'!K98</f>
        <v>1730.294528445475</v>
      </c>
      <c r="L125" s="353">
        <f>'Ausgabe Standortbewertung'!$E$37+'Ausgabe Standortbewertung'!$E$37*'Berechnung-WÜ-Material'!L98</f>
        <v>1716.5281864034039</v>
      </c>
      <c r="M125" s="353">
        <f>'Ausgabe Standortbewertung'!$E$37+'Ausgabe Standortbewertung'!$E$37*'Berechnung-WÜ-Material'!M98</f>
        <v>1708.6203510479704</v>
      </c>
      <c r="R125" s="241" t="s">
        <v>500</v>
      </c>
      <c r="S125" s="353">
        <f>'Ausgabe Standortbewertung'!$E$37+'Ausgabe Standortbewertung'!$E$37*'Berechnung-WÜ-Material'!S98</f>
        <v>1726.4355398067985</v>
      </c>
      <c r="T125" s="353">
        <f>'Ausgabe Standortbewertung'!$E$37+'Ausgabe Standortbewertung'!$E$37*'Berechnung-WÜ-Material'!T98</f>
        <v>1707.5121659017934</v>
      </c>
      <c r="U125" s="353">
        <f>'Ausgabe Standortbewertung'!$E$37+'Ausgabe Standortbewertung'!$E$37*'Berechnung-WÜ-Material'!U98</f>
        <v>1696.6419634360427</v>
      </c>
    </row>
    <row r="126" spans="2:52" x14ac:dyDescent="0.2">
      <c r="B126" s="241" t="s">
        <v>587</v>
      </c>
      <c r="C126" s="353">
        <f>'Ausgabe Standortbewertung'!$E$37+'Ausgabe Standortbewertung'!$E$37*'Berechnung-WÜ-Material'!C99</f>
        <v>1628.7295378847632</v>
      </c>
      <c r="D126" s="353">
        <f>'Ausgabe Standortbewertung'!$E$37+'Ausgabe Standortbewertung'!$E$37*'Berechnung-WÜ-Material'!D99</f>
        <v>1479.234915321023</v>
      </c>
      <c r="E126" s="353">
        <f>'Ausgabe Standortbewertung'!$E$37+'Ausgabe Standortbewertung'!$E$37*'Berechnung-WÜ-Material'!E99</f>
        <v>1393.3603338131763</v>
      </c>
      <c r="J126" s="241" t="s">
        <v>587</v>
      </c>
      <c r="K126" s="353">
        <f>'Ausgabe Standortbewertung'!$E$37+'Ausgabe Standortbewertung'!$E$37*'Berechnung-WÜ-Material'!K99</f>
        <v>1618.8541180777308</v>
      </c>
      <c r="L126" s="353">
        <f>'Ausgabe Standortbewertung'!$E$37+'Ausgabe Standortbewertung'!$E$37*'Berechnung-WÜ-Material'!L99</f>
        <v>1456.1622929893967</v>
      </c>
      <c r="M126" s="353">
        <f>'Ausgabe Standortbewertung'!$E$37+'Ausgabe Standortbewertung'!$E$37*'Berechnung-WÜ-Material'!M99</f>
        <v>1362.706808406655</v>
      </c>
      <c r="R126" s="241" t="s">
        <v>587</v>
      </c>
      <c r="S126" s="353">
        <f>'Ausgabe Standortbewertung'!$E$37+'Ausgabe Standortbewertung'!$E$37*'Berechnung-WÜ-Material'!S99</f>
        <v>1556.2824923922583</v>
      </c>
      <c r="T126" s="353">
        <f>'Ausgabe Standortbewertung'!$E$37+'Ausgabe Standortbewertung'!$E$37*'Berechnung-WÜ-Material'!T99</f>
        <v>1309.9719014590337</v>
      </c>
      <c r="U126" s="353">
        <f>'Ausgabe Standortbewertung'!$E$37+'Ausgabe Standortbewertung'!$E$37*'Berechnung-WÜ-Material'!U99</f>
        <v>1168.4830736028848</v>
      </c>
    </row>
    <row r="127" spans="2:52" x14ac:dyDescent="0.2">
      <c r="B127" s="241" t="s">
        <v>588</v>
      </c>
      <c r="C127" s="353">
        <f>'Ausgabe Standortbewertung'!$E$37+'Ausgabe Standortbewertung'!$E$37*'Berechnung-WÜ-Material'!C100</f>
        <v>1566.5370981745925</v>
      </c>
      <c r="D127" s="353">
        <f>'Ausgabe Standortbewertung'!$E$37+'Ausgabe Standortbewertung'!$E$37*'Berechnung-WÜ-Material'!D100</f>
        <v>1333.9304420576841</v>
      </c>
      <c r="E127" s="353">
        <f>'Ausgabe Standortbewertung'!$E$37+'Ausgabe Standortbewertung'!$E$37*'Berechnung-WÜ-Material'!E100</f>
        <v>1200.3136008133624</v>
      </c>
      <c r="J127" s="241" t="s">
        <v>588</v>
      </c>
      <c r="K127" s="353">
        <f>'Ausgabe Standortbewertung'!$E$37+'Ausgabe Standortbewertung'!$E$37*'Berechnung-WÜ-Material'!K100</f>
        <v>1506.0864339175937</v>
      </c>
      <c r="L127" s="353">
        <f>'Ausgabe Standortbewertung'!$E$37+'Ausgabe Standortbewertung'!$E$37*'Berechnung-WÜ-Material'!L100</f>
        <v>1192.6953985505281</v>
      </c>
      <c r="M127" s="353">
        <f>'Ausgabe Standortbewertung'!$E$37+'Ausgabe Standortbewertung'!$E$37*'Berechnung-WÜ-Material'!M100</f>
        <v>1012.6733780328148</v>
      </c>
      <c r="R127" s="241" t="s">
        <v>588</v>
      </c>
      <c r="S127" s="353">
        <f>'Ausgabe Standortbewertung'!$E$37+'Ausgabe Standortbewertung'!$E$37*'Berechnung-WÜ-Material'!S100</f>
        <v>1461.9991489343283</v>
      </c>
      <c r="T127" s="353">
        <f>'Ausgabe Standortbewertung'!$E$37+'Ausgabe Standortbewertung'!$E$37*'Berechnung-WÜ-Material'!T100</f>
        <v>1089.6912431908463</v>
      </c>
      <c r="U127" s="353">
        <f>'Ausgabe Standortbewertung'!$E$37+'Ausgabe Standortbewertung'!$E$37*'Berechnung-WÜ-Material'!U100</f>
        <v>875.82545290696885</v>
      </c>
    </row>
    <row r="128" spans="2:52" x14ac:dyDescent="0.2">
      <c r="B128" s="241" t="s">
        <v>589</v>
      </c>
      <c r="C128" s="353">
        <f>'Ausgabe Standortbewertung'!$E$37+'Ausgabe Standortbewertung'!$E$37*'Berechnung-WÜ-Material'!C101</f>
        <v>1512.9270507291913</v>
      </c>
      <c r="D128" s="353">
        <f>'Ausgabe Standortbewertung'!$E$37+'Ausgabe Standortbewertung'!$E$37*'Berechnung-WÜ-Material'!D101</f>
        <v>1208.6776019700692</v>
      </c>
      <c r="E128" s="353">
        <f>'Ausgabe Standortbewertung'!$E$37+'Ausgabe Standortbewertung'!$E$37*'Berechnung-WÜ-Material'!E101</f>
        <v>1033.9068066189348</v>
      </c>
      <c r="J128" s="241" t="s">
        <v>589</v>
      </c>
      <c r="K128" s="353">
        <f>'Ausgabe Standortbewertung'!$E$37+'Ausgabe Standortbewertung'!$E$37*'Berechnung-WÜ-Material'!K101</f>
        <v>1415.6879183364781</v>
      </c>
      <c r="L128" s="353">
        <f>'Ausgabe Standortbewertung'!$E$37+'Ausgabe Standortbewertung'!$E$37*'Berechnung-WÜ-Material'!L101</f>
        <v>981.49113077272614</v>
      </c>
      <c r="M128" s="353">
        <f>'Ausgabe Standortbewertung'!$E$37+'Ausgabe Standortbewertung'!$E$37*'Berechnung-WÜ-Material'!M101</f>
        <v>732.07435052572657</v>
      </c>
      <c r="R128" s="241" t="s">
        <v>589</v>
      </c>
      <c r="S128" s="353">
        <f>'Ausgabe Standortbewertung'!$E$37+'Ausgabe Standortbewertung'!$E$37*'Berechnung-WÜ-Material'!S101</f>
        <v>1376.0979781153444</v>
      </c>
      <c r="T128" s="353">
        <f>'Ausgabe Standortbewertung'!$E$37+'Ausgabe Standortbewertung'!$E$37*'Berechnung-WÜ-Material'!T101</f>
        <v>888.99443121941738</v>
      </c>
      <c r="U128" s="353">
        <f>'Ausgabe Standortbewertung'!$E$37+'Ausgabe Standortbewertung'!$E$37*'Berechnung-WÜ-Material'!U101</f>
        <v>609.18628479033532</v>
      </c>
    </row>
    <row r="129" spans="2:21" x14ac:dyDescent="0.2">
      <c r="B129" s="241" t="s">
        <v>501</v>
      </c>
      <c r="C129" s="353">
        <f>'Ausgabe Standortbewertung'!$E$37+'Ausgabe Standortbewertung'!$E$37*'Berechnung-WÜ-Material'!C102</f>
        <v>1429.2879446125128</v>
      </c>
      <c r="D129" s="353">
        <f>'Ausgabe Standortbewertung'!$E$37+'Ausgabe Standortbewertung'!$E$37*'Berechnung-WÜ-Material'!D102</f>
        <v>1013.2658073027994</v>
      </c>
      <c r="E129" s="353">
        <f>'Ausgabe Standortbewertung'!$E$37+'Ausgabe Standortbewertung'!$E$37*'Berechnung-WÜ-Material'!E102</f>
        <v>774.28913826415874</v>
      </c>
      <c r="J129" s="241" t="s">
        <v>501</v>
      </c>
      <c r="K129" s="353">
        <f>'Ausgabe Standortbewertung'!$E$37+'Ausgabe Standortbewertung'!$E$37*'Berechnung-WÜ-Material'!K102</f>
        <v>1218.8100495741769</v>
      </c>
      <c r="L129" s="353">
        <f>'Ausgabe Standortbewertung'!$E$37+'Ausgabe Standortbewertung'!$E$37*'Berechnung-WÜ-Material'!L102</f>
        <v>521.51182860946665</v>
      </c>
      <c r="M129" s="353">
        <f>'Ausgabe Standortbewertung'!$E$37+'Ausgabe Standortbewertung'!$E$37*'Berechnung-WÜ-Material'!M102</f>
        <v>120.96101357276416</v>
      </c>
      <c r="R129" s="241" t="s">
        <v>501</v>
      </c>
      <c r="S129" s="353">
        <f>'Ausgabe Standortbewertung'!$E$37+'Ausgabe Standortbewertung'!$E$37*'Berechnung-WÜ-Material'!S102</f>
        <v>1188.3907182743023</v>
      </c>
      <c r="T129" s="353">
        <f>'Ausgabe Standortbewertung'!$E$37+'Ausgabe Standortbewertung'!$E$37*'Berechnung-WÜ-Material'!T102</f>
        <v>450.44105325237047</v>
      </c>
      <c r="U129" s="353">
        <f>'Ausgabe Standortbewertung'!$E$37+'Ausgabe Standortbewertung'!$E$37*'Berechnung-WÜ-Material'!U102</f>
        <v>26.538724387034563</v>
      </c>
    </row>
    <row r="130" spans="2:21" x14ac:dyDescent="0.2">
      <c r="K130" s="241"/>
    </row>
    <row r="131" spans="2:21" x14ac:dyDescent="0.2">
      <c r="B131" t="s">
        <v>941</v>
      </c>
      <c r="J131" s="241" t="s">
        <v>941</v>
      </c>
      <c r="K131" s="241"/>
      <c r="L131" s="241"/>
      <c r="M131" s="241"/>
      <c r="R131" s="241" t="s">
        <v>941</v>
      </c>
    </row>
    <row r="132" spans="2:21" x14ac:dyDescent="0.2">
      <c r="J132" s="241"/>
      <c r="K132" s="241"/>
      <c r="L132" s="241"/>
      <c r="M132" s="241"/>
    </row>
    <row r="133" spans="2:21" x14ac:dyDescent="0.2">
      <c r="C133" s="241" t="s">
        <v>472</v>
      </c>
      <c r="D133" s="241" t="s">
        <v>542</v>
      </c>
      <c r="E133" s="241" t="s">
        <v>502</v>
      </c>
      <c r="F133" s="241"/>
      <c r="G133" s="241"/>
      <c r="H133" s="241"/>
      <c r="I133" s="241"/>
      <c r="J133" s="241"/>
      <c r="K133" s="241" t="s">
        <v>472</v>
      </c>
      <c r="L133" s="241" t="s">
        <v>542</v>
      </c>
      <c r="M133" s="241" t="s">
        <v>502</v>
      </c>
      <c r="N133" s="241"/>
      <c r="O133" s="241"/>
      <c r="S133" s="241" t="s">
        <v>472</v>
      </c>
      <c r="T133" s="241" t="s">
        <v>542</v>
      </c>
      <c r="U133" s="241" t="s">
        <v>502</v>
      </c>
    </row>
    <row r="134" spans="2:21" x14ac:dyDescent="0.2">
      <c r="B134" s="241" t="s">
        <v>500</v>
      </c>
      <c r="C134" s="352">
        <f>'Ausgabe Standortbewertung'!$AA$164+('Ausgabe Standortbewertung'!$F$43-'Ausgabe Standortbewertung'!$AA$164)*-'Berechnung-WÜ-Material'!C88/100</f>
        <v>7024.8652056244209</v>
      </c>
      <c r="D134" s="352">
        <f>'Ausgabe Standortbewertung'!$AB$164+('Ausgabe Standortbewertung'!$F$43-'Ausgabe Standortbewertung'!$AB$164)*-'Berechnung-WÜ-Material'!C88/100</f>
        <v>6970.0514426881837</v>
      </c>
      <c r="E134" s="352">
        <f>'Ausgabe Standortbewertung'!$AC$164+('Ausgabe Standortbewertung'!$F$43-'Ausgabe Standortbewertung'!$AC$164)*-'Berechnung-WÜ-Material'!C88/100</f>
        <v>6926.8073836347921</v>
      </c>
      <c r="J134" s="241" t="s">
        <v>500</v>
      </c>
      <c r="K134" s="352">
        <f>'Ausgabe Standortbewertung'!$AA$164+('Ausgabe Standortbewertung'!$F$43-'Ausgabe Standortbewertung'!$AA$164)*-'Berechnung-WÜ-Material'!K88/100</f>
        <v>7147.3390924153209</v>
      </c>
      <c r="L134" s="352">
        <f>'Ausgabe Standortbewertung'!$AB$164+('Ausgabe Standortbewertung'!$F$43-'Ausgabe Standortbewertung'!$AB$164)*-'Berechnung-WÜ-Material'!K88/100</f>
        <v>7132.1087652040105</v>
      </c>
      <c r="M134" s="352">
        <f>'Ausgabe Standortbewertung'!$AC$164+('Ausgabe Standortbewertung'!$F$43-'Ausgabe Standortbewertung'!$AC$164)*-'Berechnung-WÜ-Material'!K88/100</f>
        <v>7120.0931484310022</v>
      </c>
      <c r="R134" s="241" t="s">
        <v>500</v>
      </c>
      <c r="S134" s="352">
        <f>'Ausgabe Standortbewertung'!$AA$164+('Ausgabe Standortbewertung'!$F$43-'Ausgabe Standortbewertung'!$AA$164)*-'Berechnung-WÜ-Material'!S88/100</f>
        <v>7129.6860117225424</v>
      </c>
      <c r="T134" s="352">
        <f>'Ausgabe Standortbewertung'!$AB$164+('Ausgabe Standortbewertung'!$F$43-'Ausgabe Standortbewertung'!$AB$164)*-'Berechnung-WÜ-Material'!S88/100</f>
        <v>7108.7502267744121</v>
      </c>
      <c r="U134" s="352">
        <f>'Ausgabe Standortbewertung'!$AC$164+('Ausgabe Standortbewertung'!$F$43-'Ausgabe Standortbewertung'!$AC$164)*-'Berechnung-WÜ-Material'!S88/100</f>
        <v>7092.2334201891899</v>
      </c>
    </row>
    <row r="135" spans="2:21" x14ac:dyDescent="0.2">
      <c r="B135" s="241" t="s">
        <v>587</v>
      </c>
      <c r="C135" s="352">
        <f>'Ausgabe Standortbewertung'!$AA$164+('Ausgabe Standortbewertung'!$F$43-'Ausgabe Standortbewertung'!$AA$164)*-'Berechnung-WÜ-Material'!C89/100</f>
        <v>6682.726433036124</v>
      </c>
      <c r="D135" s="352">
        <f>'Ausgabe Standortbewertung'!$AB$164+('Ausgabe Standortbewertung'!$F$43-'Ausgabe Standortbewertung'!$AB$164)*-'Berechnung-WÜ-Material'!C89/100</f>
        <v>6517.3337665587869</v>
      </c>
      <c r="E135" s="352">
        <f>'Ausgabe Standortbewertung'!$AC$164+('Ausgabe Standortbewertung'!$F$43-'Ausgabe Standortbewertung'!$AC$164)*-'Berechnung-WÜ-Material'!C89/100</f>
        <v>6386.8510218425818</v>
      </c>
      <c r="J135" s="241" t="s">
        <v>587</v>
      </c>
      <c r="K135" s="352">
        <f>'Ausgabe Standortbewertung'!$AA$164+('Ausgabe Standortbewertung'!$F$43-'Ausgabe Standortbewertung'!$AA$164)*-'Berechnung-WÜ-Material'!K89/100</f>
        <v>6637.5509741137048</v>
      </c>
      <c r="L135" s="352">
        <f>'Ausgabe Standortbewertung'!$AB$164+('Ausgabe Standortbewertung'!$F$43-'Ausgabe Standortbewertung'!$AB$164)*-'Berechnung-WÜ-Material'!K89/100</f>
        <v>6457.5576452302439</v>
      </c>
      <c r="M135" s="352">
        <f>'Ausgabe Standortbewertung'!$AC$164+('Ausgabe Standortbewertung'!$F$43-'Ausgabe Standortbewertung'!$AC$164)*-'Berechnung-WÜ-Material'!K89/100</f>
        <v>6315.5560433240389</v>
      </c>
      <c r="R135" s="241" t="s">
        <v>587</v>
      </c>
      <c r="S135" s="352">
        <f>'Ausgabe Standortbewertung'!$AA$164+('Ausgabe Standortbewertung'!$F$43-'Ausgabe Standortbewertung'!$AA$164)*-'Berechnung-WÜ-Material'!S89/100</f>
        <v>6351.3148483491968</v>
      </c>
      <c r="T135" s="352">
        <f>'Ausgabe Standortbewertung'!$AB$164+('Ausgabe Standortbewertung'!$F$43-'Ausgabe Standortbewertung'!$AB$164)*-'Berechnung-WÜ-Material'!S89/100</f>
        <v>6078.8102945570681</v>
      </c>
      <c r="U135" s="352">
        <f>'Ausgabe Standortbewertung'!$AC$164+('Ausgabe Standortbewertung'!$F$43-'Ausgabe Standortbewertung'!$AC$164)*-'Berechnung-WÜ-Material'!S89/100</f>
        <v>5863.8240869833853</v>
      </c>
    </row>
    <row r="136" spans="2:21" x14ac:dyDescent="0.2">
      <c r="B136" s="241" t="s">
        <v>588</v>
      </c>
      <c r="C136" s="352">
        <f>'Ausgabe Standortbewertung'!$AA$164+('Ausgabe Standortbewertung'!$F$43-'Ausgabe Standortbewertung'!$AA$164)*-'Berechnung-WÜ-Material'!C90/100</f>
        <v>6398.2249069935433</v>
      </c>
      <c r="D136" s="352">
        <f>'Ausgabe Standortbewertung'!$AB$164+('Ausgabe Standortbewertung'!$F$43-'Ausgabe Standortbewertung'!$AB$164)*-'Berechnung-WÜ-Material'!C90/100</f>
        <v>6140.8816364745689</v>
      </c>
      <c r="E136" s="352">
        <f>'Ausgabe Standortbewertung'!$AC$164+('Ausgabe Standortbewertung'!$F$43-'Ausgabe Standortbewertung'!$AC$164)*-'Berechnung-WÜ-Material'!C90/100</f>
        <v>5937.8565750450061</v>
      </c>
      <c r="J136" s="241" t="s">
        <v>588</v>
      </c>
      <c r="K136" s="352">
        <f>'Ausgabe Standortbewertung'!$AA$164+('Ausgabe Standortbewertung'!$F$43-'Ausgabe Standortbewertung'!$AA$164)*-'Berechnung-WÜ-Material'!K90/100</f>
        <v>6121.6911946717337</v>
      </c>
      <c r="L136" s="352">
        <f>'Ausgabe Standortbewertung'!$AB$164+('Ausgabe Standortbewertung'!$F$43-'Ausgabe Standortbewertung'!$AB$164)*-'Berechnung-WÜ-Material'!K90/100</f>
        <v>5774.9725094069672</v>
      </c>
      <c r="M136" s="352">
        <f>'Ausgabe Standortbewertung'!$AC$164+('Ausgabe Standortbewertung'!$F$43-'Ausgabe Standortbewertung'!$AC$164)*-'Berechnung-WÜ-Material'!K90/100</f>
        <v>5501.4367677001856</v>
      </c>
      <c r="R136" s="241" t="s">
        <v>588</v>
      </c>
      <c r="S136" s="352">
        <f>'Ausgabe Standortbewertung'!$AA$164+('Ausgabe Standortbewertung'!$F$43-'Ausgabe Standortbewertung'!$AA$164)*-'Berechnung-WÜ-Material'!S90/100</f>
        <v>5920.0123424629192</v>
      </c>
      <c r="T136" s="352">
        <f>'Ausgabe Standortbewertung'!$AB$164+('Ausgabe Standortbewertung'!$F$43-'Ausgabe Standortbewertung'!$AB$164)*-'Berechnung-WÜ-Material'!S90/100</f>
        <v>5508.1112571563017</v>
      </c>
      <c r="U136" s="352">
        <f>'Ausgabe Standortbewertung'!$AC$164+('Ausgabe Standortbewertung'!$F$43-'Ausgabe Standortbewertung'!$AC$164)*-'Berechnung-WÜ-Material'!S90/100</f>
        <v>5183.1513583463047</v>
      </c>
    </row>
    <row r="137" spans="2:21" x14ac:dyDescent="0.2">
      <c r="B137" s="241" t="s">
        <v>589</v>
      </c>
      <c r="C137" s="352">
        <f>'Ausgabe Standortbewertung'!$AA$164+('Ausgabe Standortbewertung'!$F$43-'Ausgabe Standortbewertung'!$AA$164)*-'Berechnung-WÜ-Material'!C91/100</f>
        <v>6152.9838394215058</v>
      </c>
      <c r="D137" s="352">
        <f>'Ausgabe Standortbewertung'!$AB$164+('Ausgabe Standortbewertung'!$F$43-'Ausgabe Standortbewertung'!$AB$164)*-'Berechnung-WÜ-Material'!C91/100</f>
        <v>5816.3789051331441</v>
      </c>
      <c r="E137" s="352">
        <f>'Ausgabe Standortbewertung'!$AC$164+('Ausgabe Standortbewertung'!$F$43-'Ausgabe Standortbewertung'!$AC$164)*-'Berechnung-WÜ-Material'!C91/100</f>
        <v>5550.8221749199492</v>
      </c>
      <c r="J137" s="241" t="s">
        <v>589</v>
      </c>
      <c r="K137" s="352">
        <f>'Ausgabe Standortbewertung'!$AA$164+('Ausgabe Standortbewertung'!$F$43-'Ausgabe Standortbewertung'!$AA$164)*-'Berechnung-WÜ-Material'!K91/100</f>
        <v>5708.1599719915357</v>
      </c>
      <c r="L137" s="352">
        <f>'Ausgabe Standortbewertung'!$AB$164+('Ausgabe Standortbewertung'!$F$43-'Ausgabe Standortbewertung'!$AB$164)*-'Berechnung-WÜ-Material'!K91/100</f>
        <v>5227.7884158812549</v>
      </c>
      <c r="M137" s="352">
        <f>'Ausgabe Standortbewertung'!$AC$164+('Ausgabe Standortbewertung'!$F$43-'Ausgabe Standortbewertung'!$AC$164)*-'Berechnung-WÜ-Material'!K91/100</f>
        <v>4848.8103120760743</v>
      </c>
      <c r="R137" s="241" t="s">
        <v>589</v>
      </c>
      <c r="S137" s="352">
        <f>'Ausgabe Standortbewertung'!$AA$164+('Ausgabe Standortbewertung'!$F$43-'Ausgabe Standortbewertung'!$AA$164)*-'Berechnung-WÜ-Material'!S91/100</f>
        <v>5527.0543832521835</v>
      </c>
      <c r="T137" s="352">
        <f>'Ausgabe Standortbewertung'!$AB$164+('Ausgabe Standortbewertung'!$F$43-'Ausgabe Standortbewertung'!$AB$164)*-'Berechnung-WÜ-Material'!S91/100</f>
        <v>4988.149684942141</v>
      </c>
      <c r="U137" s="352">
        <f>'Ausgabe Standortbewertung'!$AC$164+('Ausgabe Standortbewertung'!$F$43-'Ausgabe Standortbewertung'!$AC$164)*-'Berechnung-WÜ-Material'!S91/100</f>
        <v>4562.9932032574588</v>
      </c>
    </row>
    <row r="138" spans="2:21" x14ac:dyDescent="0.2">
      <c r="B138" s="241" t="s">
        <v>501</v>
      </c>
      <c r="C138" s="352">
        <f>'Ausgabe Standortbewertung'!$AA$164+('Ausgabe Standortbewertung'!$F$43-'Ausgabe Standortbewertung'!$AA$164)*-'Berechnung-WÜ-Material'!C92/100</f>
        <v>5770.3737755950351</v>
      </c>
      <c r="D138" s="352">
        <f>'Ausgabe Standortbewertung'!$AB$164+('Ausgabe Standortbewertung'!$F$43-'Ausgabe Standortbewertung'!$AB$164)*-'Berechnung-WÜ-Material'!C92/100</f>
        <v>5310.1096575735519</v>
      </c>
      <c r="E138" s="352">
        <f>'Ausgabe Standortbewertung'!$AC$164+('Ausgabe Standortbewertung'!$F$43-'Ausgabe Standortbewertung'!$AC$164)*-'Berechnung-WÜ-Material'!C92/100</f>
        <v>4946.9948551282105</v>
      </c>
      <c r="J138" s="241" t="s">
        <v>501</v>
      </c>
      <c r="K138" s="352">
        <f>'Ausgabe Standortbewertung'!$AA$164+('Ausgabe Standortbewertung'!$F$43-'Ausgabe Standortbewertung'!$AA$164)*-'Berechnung-WÜ-Material'!K92/100</f>
        <v>4807.5351634470708</v>
      </c>
      <c r="L138" s="352">
        <f>'Ausgabe Standortbewertung'!$AB$164+('Ausgabe Standortbewertung'!$F$43-'Ausgabe Standortbewertung'!$AB$164)*-'Berechnung-WÜ-Material'!K92/100</f>
        <v>4036.0825846355187</v>
      </c>
      <c r="M138" s="352">
        <f>'Ausgabe Standortbewertung'!$AC$164+('Ausgabe Standortbewertung'!$F$43-'Ausgabe Standortbewertung'!$AC$164)*-'Berechnung-WÜ-Material'!K92/100</f>
        <v>3427.4627948607476</v>
      </c>
      <c r="R138" s="241" t="s">
        <v>501</v>
      </c>
      <c r="S138" s="352">
        <f>'Ausgabe Standortbewertung'!$AA$164+('Ausgabe Standortbewertung'!$F$43-'Ausgabe Standortbewertung'!$AA$164)*-'Berechnung-WÜ-Material'!S92/100</f>
        <v>4668.3808511811394</v>
      </c>
      <c r="T138" s="352">
        <f>'Ausgabe Standortbewertung'!$AB$164+('Ausgabe Standortbewertung'!$F$43-'Ausgabe Standortbewertung'!$AB$164)*-'Berechnung-WÜ-Material'!S92/100</f>
        <v>3851.9537400855816</v>
      </c>
      <c r="U138" s="352">
        <f>'Ausgabe Standortbewertung'!$AC$164+('Ausgabe Standortbewertung'!$F$43-'Ausgabe Standortbewertung'!$AC$164)*-'Berechnung-WÜ-Material'!S92/100</f>
        <v>3207.8523262476983</v>
      </c>
    </row>
    <row r="139" spans="2:21" x14ac:dyDescent="0.2">
      <c r="J139" s="241"/>
      <c r="K139" s="241"/>
      <c r="L139" s="354"/>
      <c r="M139" s="354"/>
      <c r="T139" s="354"/>
      <c r="U139" s="354"/>
    </row>
    <row r="140" spans="2:21" x14ac:dyDescent="0.2">
      <c r="B140" s="241" t="s">
        <v>942</v>
      </c>
      <c r="D140" s="241"/>
      <c r="E140" s="241"/>
      <c r="J140" s="241" t="s">
        <v>942</v>
      </c>
      <c r="K140" s="241"/>
      <c r="L140" s="241"/>
      <c r="M140" s="241"/>
      <c r="R140" s="241" t="s">
        <v>942</v>
      </c>
    </row>
    <row r="141" spans="2:21" x14ac:dyDescent="0.2">
      <c r="B141" s="241"/>
      <c r="D141" s="241"/>
      <c r="E141" s="241"/>
      <c r="J141" s="241"/>
      <c r="K141" s="241"/>
      <c r="L141" s="241"/>
      <c r="M141" s="241"/>
    </row>
    <row r="142" spans="2:21" x14ac:dyDescent="0.2">
      <c r="B142" s="241"/>
      <c r="C142" s="241" t="s">
        <v>472</v>
      </c>
      <c r="D142" s="241" t="s">
        <v>542</v>
      </c>
      <c r="E142" s="241" t="s">
        <v>502</v>
      </c>
      <c r="F142" s="241"/>
      <c r="G142" s="241"/>
      <c r="H142" s="241"/>
      <c r="I142" s="241"/>
      <c r="J142" s="241"/>
      <c r="K142" s="241" t="s">
        <v>472</v>
      </c>
      <c r="L142" s="241" t="s">
        <v>542</v>
      </c>
      <c r="M142" s="241" t="s">
        <v>502</v>
      </c>
      <c r="N142" s="241"/>
      <c r="O142" s="241"/>
      <c r="S142" s="241" t="s">
        <v>472</v>
      </c>
      <c r="T142" s="241" t="s">
        <v>542</v>
      </c>
      <c r="U142" s="241" t="s">
        <v>502</v>
      </c>
    </row>
    <row r="143" spans="2:21" x14ac:dyDescent="0.2">
      <c r="B143" s="241" t="s">
        <v>500</v>
      </c>
      <c r="C143" s="352">
        <f>'Ausgabe Standortbewertung'!$AI$164+('Ausgabe Standortbewertung'!$F$44-'Ausgabe Standortbewertung'!$AI$164)*-'Berechnung-WÜ-Material'!C88/100</f>
        <v>3461.7296679438641</v>
      </c>
      <c r="D143" s="352">
        <f>'Ausgabe Standortbewertung'!$AJ$164+('Ausgabe Standortbewertung'!$F$44-'Ausgabe Standortbewertung'!$AJ$164)*-'Berechnung-WÜ-Material'!C88/100</f>
        <v>3428.5761822969457</v>
      </c>
      <c r="E143" s="352">
        <f>'Ausgabe Standortbewertung'!$AK$164+('Ausgabe Standortbewertung'!$F$44-'Ausgabe Standortbewertung'!$AK$164)*-'Berechnung-WÜ-Material'!C88/100</f>
        <v>3402.4205014178783</v>
      </c>
      <c r="J143" s="241" t="s">
        <v>500</v>
      </c>
      <c r="K143" s="352">
        <f>'Ausgabe Standortbewertung'!$AI$164+('Ausgabe Standortbewertung'!$F$44-'Ausgabe Standortbewertung'!$AI$164)*-'Berechnung-WÜ-Material'!K88/100</f>
        <v>3475.7840355744679</v>
      </c>
      <c r="L143" s="352">
        <f>'Ausgabe Standortbewertung'!$AJ$164+('Ausgabe Standortbewertung'!$F$44-'Ausgabe Standortbewertung'!$AJ$164)*-'Berechnung-WÜ-Material'!K88/100</f>
        <v>3466.5721441160135</v>
      </c>
      <c r="M143" s="352">
        <f>'Ausgabe Standortbewertung'!$AK$164+('Ausgabe Standortbewertung'!$F$44-'Ausgabe Standortbewertung'!$AK$164)*-'Berechnung-WÜ-Material'!K88/100</f>
        <v>3459.3046339710486</v>
      </c>
      <c r="R143" s="241" t="s">
        <v>500</v>
      </c>
      <c r="S143" s="352">
        <f>'Ausgabe Standortbewertung'!$AI$164+('Ausgabe Standortbewertung'!$F$44-'Ausgabe Standortbewertung'!$AI$164)*-'Berechnung-WÜ-Material'!S88/100</f>
        <v>3473.7582740642397</v>
      </c>
      <c r="T143" s="352">
        <f>'Ausgabe Standortbewertung'!$AJ$164+('Ausgabe Standortbewertung'!$F$44-'Ausgabe Standortbewertung'!$AJ$164)*-'Berechnung-WÜ-Material'!S88/100</f>
        <v>3461.0955009101281</v>
      </c>
      <c r="U143" s="352">
        <f>'Ausgabe Standortbewertung'!$AK$164+('Ausgabe Standortbewertung'!$F$44-'Ausgabe Standortbewertung'!$AK$164)*-'Berechnung-WÜ-Material'!S88/100</f>
        <v>3451.1054969271308</v>
      </c>
    </row>
    <row r="144" spans="2:21" x14ac:dyDescent="0.2">
      <c r="B144" s="241" t="s">
        <v>587</v>
      </c>
      <c r="C144" s="352">
        <f>'Ausgabe Standortbewertung'!$AI$164+('Ausgabe Standortbewertung'!$F$44-'Ausgabe Standortbewertung'!$AI$164)*-'Berechnung-WÜ-Material'!C89/100</f>
        <v>3422.4678773970422</v>
      </c>
      <c r="D144" s="352">
        <f>'Ausgabe Standortbewertung'!$AJ$164+('Ausgabe Standortbewertung'!$F$44-'Ausgabe Standortbewertung'!$AJ$164)*-'Berechnung-WÜ-Material'!C89/100</f>
        <v>3322.4319904147815</v>
      </c>
      <c r="E144" s="352">
        <f>'Ausgabe Standortbewertung'!$AK$164+('Ausgabe Standortbewertung'!$F$44-'Ausgabe Standortbewertung'!$AK$164)*-'Berechnung-WÜ-Material'!C89/100</f>
        <v>3243.5109754654636</v>
      </c>
      <c r="J144" s="241" t="s">
        <v>587</v>
      </c>
      <c r="K144" s="352">
        <f>'Ausgabe Standortbewertung'!$AI$164+('Ausgabe Standortbewertung'!$F$44-'Ausgabe Standortbewertung'!$AI$164)*-'Berechnung-WÜ-Material'!K89/100</f>
        <v>3417.2838130694281</v>
      </c>
      <c r="L144" s="352">
        <f>'Ausgabe Standortbewertung'!$AJ$164+('Ausgabe Standortbewertung'!$F$44-'Ausgabe Standortbewertung'!$AJ$164)*-'Berechnung-WÜ-Material'!K89/100</f>
        <v>3308.4168802770123</v>
      </c>
      <c r="M144" s="352">
        <f>'Ausgabe Standortbewertung'!$AK$164+('Ausgabe Standortbewertung'!$F$44-'Ausgabe Standortbewertung'!$AK$164)*-'Berechnung-WÜ-Material'!K89/100</f>
        <v>3222.5288146079365</v>
      </c>
      <c r="R144" s="241" t="s">
        <v>587</v>
      </c>
      <c r="S144" s="352">
        <f>'Ausgabe Standortbewertung'!$AI$164+('Ausgabe Standortbewertung'!$F$44-'Ausgabe Standortbewertung'!$AI$164)*-'Berechnung-WÜ-Material'!S89/100</f>
        <v>3384.4370745028436</v>
      </c>
      <c r="T144" s="352">
        <f>'Ausgabe Standortbewertung'!$AJ$164+('Ausgabe Standortbewertung'!$F$44-'Ausgabe Standortbewertung'!$AJ$164)*-'Berechnung-WÜ-Material'!S89/100</f>
        <v>3219.6157718059912</v>
      </c>
      <c r="U144" s="352">
        <f>'Ausgabe Standortbewertung'!$AK$164+('Ausgabe Standortbewertung'!$F$44-'Ausgabe Standortbewertung'!$AK$164)*-'Berechnung-WÜ-Material'!S89/100</f>
        <v>3089.5837914186836</v>
      </c>
    </row>
    <row r="145" spans="2:21" x14ac:dyDescent="0.2">
      <c r="B145" s="241" t="s">
        <v>588</v>
      </c>
      <c r="C145" s="352">
        <f>'Ausgabe Standortbewertung'!$AI$164+('Ausgabe Standortbewertung'!$F$44-'Ausgabe Standortbewertung'!$AI$164)*-'Berechnung-WÜ-Material'!C90/100</f>
        <v>3389.8201910759826</v>
      </c>
      <c r="D145" s="352">
        <f>'Ausgabe Standortbewertung'!$AJ$164+('Ausgabe Standortbewertung'!$F$44-'Ausgabe Standortbewertung'!$AJ$164)*-'Berechnung-WÜ-Material'!C90/100</f>
        <v>3234.169019391119</v>
      </c>
      <c r="E145" s="352">
        <f>'Ausgabe Standortbewertung'!$AK$164+('Ausgabe Standortbewertung'!$F$44-'Ausgabe Standortbewertung'!$AK$164)*-'Berechnung-WÜ-Material'!C90/100</f>
        <v>3111.3716032038833</v>
      </c>
      <c r="J145" s="241" t="s">
        <v>588</v>
      </c>
      <c r="K145" s="352">
        <f>'Ausgabe Standortbewertung'!$AI$164+('Ausgabe Standortbewertung'!$F$44-'Ausgabe Standortbewertung'!$AI$164)*-'Berechnung-WÜ-Material'!K90/100</f>
        <v>3358.0868432002694</v>
      </c>
      <c r="L145" s="352">
        <f>'Ausgabe Standortbewertung'!$AJ$164+('Ausgabe Standortbewertung'!$F$44-'Ausgabe Standortbewertung'!$AJ$164)*-'Berechnung-WÜ-Material'!K90/100</f>
        <v>3148.3779609836761</v>
      </c>
      <c r="M145" s="352">
        <f>'Ausgabe Standortbewertung'!$AK$164+('Ausgabe Standortbewertung'!$F$44-'Ausgabe Standortbewertung'!$AK$164)*-'Berechnung-WÜ-Material'!K90/100</f>
        <v>2982.932955919091</v>
      </c>
      <c r="R145" s="241" t="s">
        <v>588</v>
      </c>
      <c r="S145" s="352">
        <f>'Ausgabe Standortbewertung'!$AI$164+('Ausgabe Standortbewertung'!$F$44-'Ausgabe Standortbewertung'!$AI$164)*-'Berechnung-WÜ-Material'!S90/100</f>
        <v>3334.94338946878</v>
      </c>
      <c r="T145" s="352">
        <f>'Ausgabe Standortbewertung'!$AJ$164+('Ausgabe Standortbewertung'!$F$44-'Ausgabe Standortbewertung'!$AJ$164)*-'Berechnung-WÜ-Material'!S90/100</f>
        <v>3085.8096685171963</v>
      </c>
      <c r="U145" s="352">
        <f>'Ausgabe Standortbewertung'!$AK$164+('Ausgabe Standortbewertung'!$F$44-'Ausgabe Standortbewertung'!$AK$164)*-'Berechnung-WÜ-Material'!S90/100</f>
        <v>2889.2613426240528</v>
      </c>
    </row>
    <row r="146" spans="2:21" x14ac:dyDescent="0.2">
      <c r="B146" s="241" t="s">
        <v>589</v>
      </c>
      <c r="C146" s="352">
        <f>'Ausgabe Standortbewertung'!$AI$164+('Ausgabe Standortbewertung'!$F$44-'Ausgabe Standortbewertung'!$AI$164)*-'Berechnung-WÜ-Material'!C91/100</f>
        <v>3361.6777991580734</v>
      </c>
      <c r="D146" s="352">
        <f>'Ausgabe Standortbewertung'!$AJ$164+('Ausgabe Standortbewertung'!$F$44-'Ausgabe Standortbewertung'!$AJ$164)*-'Berechnung-WÜ-Material'!C91/100</f>
        <v>3158.0861050320477</v>
      </c>
      <c r="E146" s="352">
        <f>'Ausgabe Standortbewertung'!$AK$164+('Ausgabe Standortbewertung'!$F$44-'Ausgabe Standortbewertung'!$AK$164)*-'Berechnung-WÜ-Material'!C91/100</f>
        <v>2997.4671149837441</v>
      </c>
      <c r="J146" s="241" t="s">
        <v>589</v>
      </c>
      <c r="K146" s="352">
        <f>'Ausgabe Standortbewertung'!$AI$164+('Ausgabe Standortbewertung'!$F$44-'Ausgabe Standortbewertung'!$AI$164)*-'Berechnung-WÜ-Material'!K91/100</f>
        <v>3310.6324838868977</v>
      </c>
      <c r="L146" s="352">
        <f>'Ausgabe Standortbewertung'!$AJ$164+('Ausgabe Standortbewertung'!$F$44-'Ausgabe Standortbewertung'!$AJ$164)*-'Berechnung-WÜ-Material'!K91/100</f>
        <v>3020.0851717234209</v>
      </c>
      <c r="M146" s="352">
        <f>'Ausgabe Standortbewertung'!$AK$164+('Ausgabe Standortbewertung'!$F$44-'Ausgabe Standortbewertung'!$AK$164)*-'Berechnung-WÜ-Material'!K91/100</f>
        <v>2790.8645444219005</v>
      </c>
      <c r="R146" s="241" t="s">
        <v>589</v>
      </c>
      <c r="S146" s="352">
        <f>'Ausgabe Standortbewertung'!$AI$164+('Ausgabe Standortbewertung'!$F$44-'Ausgabe Standortbewertung'!$AI$164)*-'Berechnung-WÜ-Material'!S91/100</f>
        <v>3289.849894301532</v>
      </c>
      <c r="T146" s="352">
        <f>'Ausgabe Standortbewertung'!$AJ$164+('Ausgabe Standortbewertung'!$F$44-'Ausgabe Standortbewertung'!$AJ$164)*-'Berechnung-WÜ-Material'!S91/100</f>
        <v>2963.899471936586</v>
      </c>
      <c r="U146" s="352">
        <f>'Ausgabe Standortbewertung'!$AK$164+('Ausgabe Standortbewertung'!$F$44-'Ausgabe Standortbewertung'!$AK$164)*-'Berechnung-WÜ-Material'!S91/100</f>
        <v>2706.7483741434316</v>
      </c>
    </row>
    <row r="147" spans="2:21" x14ac:dyDescent="0.2">
      <c r="B147" s="241" t="s">
        <v>501</v>
      </c>
      <c r="C147" s="352">
        <f>'Ausgabe Standortbewertung'!$AI$164+('Ausgabe Standortbewertung'!$F$44-'Ausgabe Standortbewertung'!$AI$164)*-'Berechnung-WÜ-Material'!C92/100</f>
        <v>3317.771766312339</v>
      </c>
      <c r="D147" s="352">
        <f>'Ausgabe Standortbewertung'!$AJ$164+('Ausgabe Standortbewertung'!$F$44-'Ausgabe Standortbewertung'!$AJ$164)*-'Berechnung-WÜ-Material'!C92/100</f>
        <v>3039.3862110574087</v>
      </c>
      <c r="E147" s="352">
        <f>'Ausgabe Standortbewertung'!$AK$164+('Ausgabe Standortbewertung'!$F$44-'Ausgabe Standortbewertung'!$AK$164)*-'Berechnung-WÜ-Material'!C92/100</f>
        <v>2819.7603224815975</v>
      </c>
      <c r="J147" s="241" t="s">
        <v>501</v>
      </c>
      <c r="K147" s="352">
        <f>'Ausgabe Standortbewertung'!$AI$164+('Ausgabe Standortbewertung'!$F$44-'Ausgabe Standortbewertung'!$AI$164)*-'Berechnung-WÜ-Material'!K92/100</f>
        <v>3207.2821903003419</v>
      </c>
      <c r="L147" s="352">
        <f>'Ausgabe Standortbewertung'!$AJ$164+('Ausgabe Standortbewertung'!$F$44-'Ausgabe Standortbewertung'!$AJ$164)*-'Berechnung-WÜ-Material'!K92/100</f>
        <v>2740.6778079546439</v>
      </c>
      <c r="M147" s="352">
        <f>'Ausgabe Standortbewertung'!$AK$164+('Ausgabe Standortbewertung'!$F$44-'Ausgabe Standortbewertung'!$AK$164)*-'Berechnung-WÜ-Material'!K92/100</f>
        <v>2372.5609996231296</v>
      </c>
      <c r="R147" s="241" t="s">
        <v>501</v>
      </c>
      <c r="S147" s="352">
        <f>'Ausgabe Standortbewertung'!$AI$164+('Ausgabe Standortbewertung'!$F$44-'Ausgabe Standortbewertung'!$AI$164)*-'Berechnung-WÜ-Material'!S92/100</f>
        <v>3191.3136772302191</v>
      </c>
      <c r="T147" s="352">
        <f>'Ausgabe Standortbewertung'!$AJ$164+('Ausgabe Standortbewertung'!$F$44-'Ausgabe Standortbewertung'!$AJ$164)*-'Berechnung-WÜ-Material'!S92/100</f>
        <v>2697.5069568095178</v>
      </c>
      <c r="U147" s="352">
        <f>'Ausgabe Standortbewertung'!$AK$164+('Ausgabe Standortbewertung'!$F$44-'Ausgabe Standortbewertung'!$AK$164)*-'Berechnung-WÜ-Material'!S92/100</f>
        <v>2307.929488762411</v>
      </c>
    </row>
    <row r="148" spans="2:21" x14ac:dyDescent="0.2">
      <c r="K148" s="241"/>
    </row>
    <row r="149" spans="2:21" x14ac:dyDescent="0.2">
      <c r="J149" s="241"/>
      <c r="K149" s="241"/>
      <c r="L149" s="241"/>
      <c r="M149" s="241"/>
    </row>
    <row r="150" spans="2:21" x14ac:dyDescent="0.2">
      <c r="J150" s="241"/>
      <c r="K150" s="241"/>
      <c r="L150" s="241"/>
      <c r="M150" s="241"/>
    </row>
    <row r="151" spans="2:21" x14ac:dyDescent="0.2">
      <c r="C151" s="241"/>
      <c r="D151" s="241"/>
      <c r="E151" s="241"/>
      <c r="F151" s="241"/>
      <c r="G151" s="241"/>
      <c r="H151" s="241"/>
      <c r="I151" s="241"/>
      <c r="J151" s="241"/>
      <c r="K151" s="241"/>
      <c r="L151" s="241"/>
      <c r="M151" s="241"/>
      <c r="N151" s="241"/>
      <c r="O151" s="241"/>
    </row>
    <row r="152" spans="2:21" x14ac:dyDescent="0.2">
      <c r="B152" s="241"/>
      <c r="C152" s="352"/>
      <c r="D152" s="352"/>
      <c r="E152" s="352"/>
      <c r="J152" s="241"/>
      <c r="K152" s="352"/>
      <c r="L152" s="352"/>
      <c r="M152" s="352"/>
      <c r="S152" s="352"/>
      <c r="T152" s="352"/>
      <c r="U152" s="352"/>
    </row>
    <row r="153" spans="2:21" x14ac:dyDescent="0.2">
      <c r="B153" s="241"/>
      <c r="C153" s="352"/>
      <c r="D153" s="352"/>
      <c r="E153" s="352"/>
      <c r="J153" s="241"/>
      <c r="K153" s="352"/>
      <c r="L153" s="352"/>
      <c r="M153" s="352"/>
      <c r="S153" s="352"/>
      <c r="T153" s="352"/>
      <c r="U153" s="352"/>
    </row>
    <row r="154" spans="2:21" x14ac:dyDescent="0.2">
      <c r="B154" s="241"/>
      <c r="C154" s="352"/>
      <c r="D154" s="352"/>
      <c r="E154" s="352"/>
      <c r="J154" s="241"/>
      <c r="K154" s="352"/>
      <c r="L154" s="352"/>
      <c r="M154" s="352"/>
      <c r="S154" s="352"/>
      <c r="T154" s="352"/>
      <c r="U154" s="352"/>
    </row>
    <row r="155" spans="2:21" x14ac:dyDescent="0.2">
      <c r="B155" s="241"/>
      <c r="C155" s="352"/>
      <c r="D155" s="352"/>
      <c r="E155" s="352"/>
      <c r="J155" s="241"/>
      <c r="K155" s="352"/>
      <c r="L155" s="352"/>
      <c r="M155" s="352"/>
      <c r="S155" s="352"/>
      <c r="T155" s="352"/>
      <c r="U155" s="352"/>
    </row>
    <row r="156" spans="2:21" x14ac:dyDescent="0.2">
      <c r="B156" s="241"/>
      <c r="C156" s="352"/>
      <c r="D156" s="352"/>
      <c r="E156" s="352"/>
      <c r="J156" s="241"/>
      <c r="K156" s="352"/>
      <c r="L156" s="352"/>
      <c r="M156" s="352"/>
      <c r="S156" s="352"/>
      <c r="T156" s="352"/>
      <c r="U156" s="352"/>
    </row>
    <row r="157" spans="2:21" x14ac:dyDescent="0.2">
      <c r="J157" s="241"/>
      <c r="K157" s="241"/>
      <c r="L157" s="241"/>
      <c r="M157" s="241"/>
    </row>
    <row r="158" spans="2:21" x14ac:dyDescent="0.2">
      <c r="J158" s="241"/>
      <c r="K158" s="241"/>
      <c r="L158" s="241"/>
      <c r="M158" s="241"/>
    </row>
    <row r="159" spans="2:21" x14ac:dyDescent="0.2">
      <c r="B159" s="241"/>
      <c r="D159" s="241"/>
      <c r="E159" s="241"/>
      <c r="J159" s="241"/>
      <c r="K159" s="241"/>
      <c r="L159" s="241"/>
      <c r="M159" s="241"/>
    </row>
    <row r="160" spans="2:21" x14ac:dyDescent="0.2">
      <c r="B160" s="241"/>
      <c r="C160" s="241"/>
      <c r="D160" s="241"/>
      <c r="E160" s="241"/>
      <c r="F160" s="241"/>
      <c r="G160" s="241"/>
      <c r="H160" s="241"/>
      <c r="I160" s="241"/>
      <c r="J160" s="241"/>
      <c r="K160" s="241"/>
      <c r="L160" s="241"/>
      <c r="M160" s="241"/>
      <c r="N160" s="241"/>
      <c r="O160" s="241"/>
    </row>
    <row r="161" spans="2:24" x14ac:dyDescent="0.2">
      <c r="B161" s="241"/>
      <c r="C161" s="352"/>
      <c r="D161" s="352"/>
      <c r="E161" s="352"/>
      <c r="J161" s="241"/>
      <c r="K161" s="352"/>
      <c r="L161" s="352"/>
      <c r="M161" s="352"/>
      <c r="S161" s="352"/>
      <c r="T161" s="352"/>
      <c r="U161" s="352"/>
    </row>
    <row r="162" spans="2:24" x14ac:dyDescent="0.2">
      <c r="B162" s="241"/>
      <c r="C162" s="352"/>
      <c r="D162" s="352"/>
      <c r="E162" s="352"/>
      <c r="J162" s="241"/>
      <c r="K162" s="352"/>
      <c r="L162" s="352"/>
      <c r="M162" s="352"/>
      <c r="S162" s="352"/>
      <c r="T162" s="352"/>
      <c r="U162" s="352"/>
    </row>
    <row r="163" spans="2:24" x14ac:dyDescent="0.2">
      <c r="B163" s="241"/>
      <c r="C163" s="352"/>
      <c r="D163" s="352"/>
      <c r="E163" s="352"/>
      <c r="J163" s="241"/>
      <c r="K163" s="352"/>
      <c r="L163" s="352"/>
      <c r="M163" s="352"/>
      <c r="S163" s="352"/>
      <c r="T163" s="352"/>
      <c r="U163" s="352"/>
    </row>
    <row r="164" spans="2:24" x14ac:dyDescent="0.2">
      <c r="B164" s="241"/>
      <c r="C164" s="352"/>
      <c r="D164" s="352"/>
      <c r="E164" s="352"/>
      <c r="J164" s="241"/>
      <c r="K164" s="352"/>
      <c r="L164" s="352"/>
      <c r="M164" s="352"/>
      <c r="S164" s="352"/>
      <c r="T164" s="352"/>
      <c r="U164" s="352"/>
    </row>
    <row r="165" spans="2:24" x14ac:dyDescent="0.2">
      <c r="B165" s="241"/>
      <c r="C165" s="352"/>
      <c r="D165" s="352"/>
      <c r="E165" s="352"/>
      <c r="J165" s="241"/>
      <c r="K165" s="352"/>
      <c r="L165" s="352"/>
      <c r="M165" s="352"/>
      <c r="S165" s="352"/>
      <c r="T165" s="352"/>
      <c r="U165" s="352"/>
    </row>
    <row r="166" spans="2:24" x14ac:dyDescent="0.2">
      <c r="C166" s="352"/>
      <c r="D166" s="352"/>
    </row>
    <row r="167" spans="2:24" x14ac:dyDescent="0.2">
      <c r="B167" s="241"/>
      <c r="E167" s="241"/>
      <c r="J167" s="241"/>
      <c r="K167" s="241"/>
      <c r="L167" s="241"/>
      <c r="M167" s="241"/>
      <c r="N167" s="241"/>
      <c r="O167" s="241"/>
    </row>
    <row r="168" spans="2:24" x14ac:dyDescent="0.2">
      <c r="C168" s="241"/>
      <c r="D168" s="241"/>
      <c r="E168" s="241"/>
      <c r="F168" s="241"/>
      <c r="G168" s="241"/>
      <c r="H168" s="241"/>
      <c r="J168" s="241"/>
      <c r="K168" s="241"/>
      <c r="L168" s="241"/>
      <c r="M168" s="241"/>
      <c r="N168" s="241"/>
      <c r="O168" s="241"/>
    </row>
    <row r="169" spans="2:24" x14ac:dyDescent="0.2">
      <c r="D169" s="241"/>
      <c r="E169" s="241"/>
      <c r="G169" s="241"/>
      <c r="H169" s="241"/>
      <c r="J169" s="241"/>
      <c r="K169" s="241"/>
      <c r="L169" s="241"/>
      <c r="M169" s="241"/>
      <c r="N169" s="241"/>
      <c r="O169" s="241"/>
    </row>
    <row r="170" spans="2:24" x14ac:dyDescent="0.2">
      <c r="B170" s="241"/>
      <c r="C170" s="368"/>
      <c r="D170" s="368"/>
      <c r="E170" s="368"/>
      <c r="F170" s="367"/>
      <c r="G170" s="367"/>
      <c r="H170" s="367"/>
      <c r="J170" s="241"/>
      <c r="K170" s="368"/>
      <c r="L170" s="368"/>
      <c r="M170" s="368"/>
      <c r="N170" s="367"/>
      <c r="O170" s="367"/>
      <c r="P170" s="367"/>
      <c r="S170" s="354"/>
      <c r="T170" s="354"/>
      <c r="U170" s="354"/>
      <c r="V170" s="357"/>
      <c r="W170" s="357"/>
      <c r="X170" s="357"/>
    </row>
    <row r="171" spans="2:24" x14ac:dyDescent="0.2">
      <c r="B171" s="241"/>
      <c r="C171" s="368"/>
      <c r="D171" s="368"/>
      <c r="E171" s="368"/>
      <c r="F171" s="367"/>
      <c r="G171" s="367"/>
      <c r="H171" s="367"/>
      <c r="J171" s="241"/>
      <c r="K171" s="368"/>
      <c r="L171" s="368"/>
      <c r="M171" s="368"/>
      <c r="N171" s="367"/>
      <c r="O171" s="367"/>
      <c r="P171" s="367"/>
      <c r="S171" s="354"/>
      <c r="T171" s="354"/>
      <c r="U171" s="354"/>
      <c r="V171" s="357"/>
      <c r="W171" s="357"/>
      <c r="X171" s="357"/>
    </row>
    <row r="172" spans="2:24" x14ac:dyDescent="0.2">
      <c r="B172" s="241"/>
      <c r="C172" s="368"/>
      <c r="D172" s="368"/>
      <c r="E172" s="368"/>
      <c r="F172" s="367"/>
      <c r="G172" s="367"/>
      <c r="H172" s="367"/>
      <c r="J172" s="241"/>
      <c r="K172" s="368"/>
      <c r="L172" s="368"/>
      <c r="M172" s="368"/>
      <c r="N172" s="367"/>
      <c r="O172" s="367"/>
      <c r="P172" s="367"/>
      <c r="S172" s="354"/>
      <c r="T172" s="354"/>
      <c r="U172" s="354"/>
      <c r="V172" s="357"/>
      <c r="W172" s="357"/>
      <c r="X172" s="357"/>
    </row>
    <row r="173" spans="2:24" x14ac:dyDescent="0.2">
      <c r="B173" s="241"/>
      <c r="C173" s="368"/>
      <c r="D173" s="368"/>
      <c r="E173" s="368"/>
      <c r="F173" s="367"/>
      <c r="G173" s="367"/>
      <c r="H173" s="367"/>
      <c r="J173" s="241"/>
      <c r="K173" s="368"/>
      <c r="L173" s="368"/>
      <c r="M173" s="368"/>
      <c r="N173" s="367"/>
      <c r="O173" s="367"/>
      <c r="P173" s="367"/>
      <c r="S173" s="354"/>
      <c r="T173" s="354"/>
      <c r="U173" s="354"/>
      <c r="V173" s="357"/>
      <c r="W173" s="357"/>
      <c r="X173" s="357"/>
    </row>
    <row r="174" spans="2:24" x14ac:dyDescent="0.2">
      <c r="B174" s="241"/>
      <c r="C174" s="368"/>
      <c r="D174" s="368"/>
      <c r="E174" s="368"/>
      <c r="F174" s="367"/>
      <c r="G174" s="367"/>
      <c r="H174" s="367"/>
      <c r="J174" s="241"/>
      <c r="K174" s="368"/>
      <c r="L174" s="368"/>
      <c r="M174" s="368"/>
      <c r="N174" s="367"/>
      <c r="O174" s="367"/>
      <c r="P174" s="367"/>
      <c r="Q174" s="367"/>
      <c r="R174" s="367"/>
      <c r="S174" s="354"/>
      <c r="T174" s="354"/>
      <c r="U174" s="354"/>
      <c r="V174" s="357"/>
      <c r="W174" s="357"/>
      <c r="X174" s="357"/>
    </row>
    <row r="175" spans="2:24" x14ac:dyDescent="0.2">
      <c r="J175" s="241"/>
      <c r="K175" s="368"/>
      <c r="L175" s="368"/>
      <c r="M175" s="368"/>
      <c r="O175" s="241"/>
      <c r="P175" s="367"/>
      <c r="Q175" s="367"/>
      <c r="R175" s="367"/>
    </row>
    <row r="176" spans="2:24" x14ac:dyDescent="0.2">
      <c r="B176" s="241"/>
      <c r="C176" s="241"/>
      <c r="D176" s="241"/>
      <c r="E176" s="241"/>
      <c r="J176" s="241"/>
      <c r="K176" s="368"/>
      <c r="L176" s="368"/>
      <c r="M176" s="368"/>
      <c r="O176" s="241"/>
      <c r="P176" s="367"/>
      <c r="Q176" s="367"/>
      <c r="R176" s="367"/>
    </row>
    <row r="177" spans="2:24" x14ac:dyDescent="0.2">
      <c r="B177" s="241"/>
      <c r="C177" s="241"/>
      <c r="D177" s="241"/>
      <c r="J177" s="241"/>
      <c r="K177" s="368"/>
      <c r="L177" s="368"/>
      <c r="M177" s="368"/>
      <c r="O177" s="241"/>
      <c r="P177" s="367"/>
      <c r="Q177" s="367"/>
      <c r="R177" s="367"/>
    </row>
    <row r="178" spans="2:24" x14ac:dyDescent="0.2">
      <c r="B178" s="241"/>
      <c r="C178" s="241"/>
      <c r="D178" s="241"/>
      <c r="E178" s="241"/>
      <c r="F178" s="241"/>
      <c r="G178" s="241"/>
      <c r="H178" s="241"/>
      <c r="J178" s="241"/>
      <c r="K178" s="368"/>
      <c r="L178" s="368"/>
      <c r="M178" s="368"/>
      <c r="N178" s="241"/>
      <c r="O178" s="241"/>
      <c r="P178" s="367"/>
      <c r="Q178" s="367"/>
      <c r="R178" s="367"/>
    </row>
    <row r="179" spans="2:24" x14ac:dyDescent="0.2">
      <c r="B179" s="241"/>
      <c r="C179" s="368"/>
      <c r="D179" s="368"/>
      <c r="E179" s="368"/>
      <c r="F179" s="367"/>
      <c r="G179" s="367"/>
      <c r="H179" s="367"/>
      <c r="J179" s="241"/>
      <c r="K179" s="368"/>
      <c r="L179" s="368"/>
      <c r="M179" s="368"/>
      <c r="N179" s="367"/>
      <c r="O179" s="367"/>
      <c r="P179" s="367"/>
      <c r="S179" s="354"/>
      <c r="T179" s="354"/>
      <c r="U179" s="354"/>
      <c r="V179" s="357"/>
      <c r="W179" s="357"/>
      <c r="X179" s="357"/>
    </row>
    <row r="180" spans="2:24" x14ac:dyDescent="0.2">
      <c r="B180" s="241"/>
      <c r="C180" s="368"/>
      <c r="D180" s="368"/>
      <c r="E180" s="368"/>
      <c r="F180" s="367"/>
      <c r="G180" s="367"/>
      <c r="H180" s="367"/>
      <c r="J180" s="241"/>
      <c r="K180" s="368"/>
      <c r="L180" s="368"/>
      <c r="M180" s="368"/>
      <c r="N180" s="367"/>
      <c r="O180" s="367"/>
      <c r="P180" s="367"/>
      <c r="S180" s="354"/>
      <c r="T180" s="354"/>
      <c r="U180" s="354"/>
      <c r="V180" s="357"/>
      <c r="W180" s="357"/>
      <c r="X180" s="357"/>
    </row>
    <row r="181" spans="2:24" x14ac:dyDescent="0.2">
      <c r="B181" s="241"/>
      <c r="C181" s="368"/>
      <c r="D181" s="368"/>
      <c r="E181" s="368"/>
      <c r="F181" s="367"/>
      <c r="G181" s="367"/>
      <c r="H181" s="367"/>
      <c r="J181" s="241"/>
      <c r="K181" s="368"/>
      <c r="L181" s="368"/>
      <c r="M181" s="368"/>
      <c r="N181" s="367"/>
      <c r="O181" s="367"/>
      <c r="P181" s="367"/>
      <c r="S181" s="354"/>
      <c r="T181" s="354"/>
      <c r="U181" s="354"/>
      <c r="V181" s="357"/>
      <c r="W181" s="357"/>
      <c r="X181" s="357"/>
    </row>
    <row r="182" spans="2:24" x14ac:dyDescent="0.2">
      <c r="B182" s="241"/>
      <c r="C182" s="368"/>
      <c r="D182" s="368"/>
      <c r="E182" s="368"/>
      <c r="F182" s="367"/>
      <c r="G182" s="367"/>
      <c r="H182" s="367"/>
      <c r="J182" s="241"/>
      <c r="K182" s="368"/>
      <c r="L182" s="368"/>
      <c r="M182" s="368"/>
      <c r="N182" s="367"/>
      <c r="O182" s="367"/>
      <c r="P182" s="367"/>
      <c r="S182" s="354"/>
      <c r="T182" s="354"/>
      <c r="U182" s="354"/>
      <c r="V182" s="357"/>
      <c r="W182" s="357"/>
      <c r="X182" s="357"/>
    </row>
    <row r="183" spans="2:24" x14ac:dyDescent="0.2">
      <c r="B183" s="241"/>
      <c r="C183" s="368"/>
      <c r="D183" s="368"/>
      <c r="E183" s="368"/>
      <c r="F183" s="367"/>
      <c r="G183" s="367"/>
      <c r="H183" s="367"/>
      <c r="I183" s="367"/>
      <c r="J183" s="367"/>
      <c r="K183" s="368"/>
      <c r="L183" s="368"/>
      <c r="M183" s="368"/>
      <c r="N183" s="367"/>
      <c r="O183" s="367"/>
      <c r="P183" s="367"/>
      <c r="S183" s="354"/>
      <c r="T183" s="354"/>
      <c r="U183" s="354"/>
      <c r="V183" s="357"/>
      <c r="W183" s="357"/>
      <c r="X183" s="357"/>
    </row>
    <row r="184" spans="2:24" x14ac:dyDescent="0.2">
      <c r="C184" s="368"/>
      <c r="D184" s="368"/>
      <c r="E184" s="368"/>
      <c r="G184" s="241"/>
      <c r="H184" s="367"/>
      <c r="I184" s="367"/>
      <c r="J184" s="367"/>
      <c r="K184" s="368"/>
      <c r="L184" s="368"/>
      <c r="M184" s="368"/>
      <c r="O184" s="241"/>
    </row>
    <row r="185" spans="2:24" x14ac:dyDescent="0.2">
      <c r="B185" s="241"/>
      <c r="C185" s="368"/>
      <c r="D185" s="368"/>
      <c r="E185" s="368"/>
      <c r="H185" s="367"/>
      <c r="I185" s="367"/>
      <c r="J185" s="367"/>
      <c r="K185" s="368"/>
      <c r="L185" s="368"/>
      <c r="M185" s="368"/>
      <c r="O185" s="241"/>
    </row>
    <row r="186" spans="2:24" x14ac:dyDescent="0.2">
      <c r="B186" s="241"/>
      <c r="C186" s="368"/>
      <c r="D186" s="368"/>
      <c r="E186" s="368"/>
      <c r="H186" s="367"/>
      <c r="I186" s="367"/>
      <c r="J186" s="367"/>
      <c r="K186" s="368"/>
      <c r="L186" s="368"/>
      <c r="M186" s="368"/>
      <c r="O186" s="241"/>
    </row>
    <row r="187" spans="2:24" x14ac:dyDescent="0.2">
      <c r="B187" s="241"/>
      <c r="C187" s="368"/>
      <c r="D187" s="368"/>
      <c r="E187" s="368"/>
      <c r="F187" s="241"/>
      <c r="G187" s="241"/>
      <c r="H187" s="367"/>
      <c r="I187" s="367"/>
      <c r="J187" s="367"/>
      <c r="K187" s="368"/>
      <c r="L187" s="368"/>
      <c r="M187" s="368"/>
      <c r="N187" s="241"/>
      <c r="O187" s="241"/>
    </row>
    <row r="188" spans="2:24" x14ac:dyDescent="0.2">
      <c r="B188" s="241"/>
      <c r="C188" s="368"/>
      <c r="D188" s="368"/>
      <c r="E188" s="368"/>
      <c r="F188" s="367"/>
      <c r="G188" s="367"/>
      <c r="H188" s="367"/>
      <c r="J188" s="241"/>
      <c r="K188" s="368"/>
      <c r="L188" s="368"/>
      <c r="M188" s="368"/>
      <c r="N188" s="357"/>
      <c r="O188" s="357"/>
      <c r="P188" s="357"/>
      <c r="S188" s="354"/>
      <c r="T188" s="354"/>
      <c r="U188" s="354"/>
      <c r="W188" s="357"/>
      <c r="X188" s="357"/>
    </row>
    <row r="189" spans="2:24" x14ac:dyDescent="0.2">
      <c r="B189" s="241"/>
      <c r="C189" s="368"/>
      <c r="D189" s="368"/>
      <c r="E189" s="368"/>
      <c r="F189" s="367"/>
      <c r="G189" s="367"/>
      <c r="H189" s="367"/>
      <c r="J189" s="241"/>
      <c r="K189" s="368"/>
      <c r="L189" s="368"/>
      <c r="M189" s="368"/>
      <c r="N189" s="357"/>
      <c r="O189" s="357"/>
      <c r="P189" s="357"/>
      <c r="S189" s="354"/>
      <c r="T189" s="354"/>
      <c r="U189" s="354"/>
      <c r="W189" s="357"/>
      <c r="X189" s="357"/>
    </row>
    <row r="190" spans="2:24" x14ac:dyDescent="0.2">
      <c r="C190" s="368"/>
      <c r="D190" s="368"/>
      <c r="E190" s="368"/>
      <c r="F190" s="367"/>
      <c r="G190" s="367"/>
      <c r="H190" s="367"/>
      <c r="J190" s="241"/>
      <c r="K190" s="368"/>
      <c r="L190" s="368"/>
      <c r="M190" s="368"/>
      <c r="O190" s="357"/>
      <c r="P190" s="357"/>
      <c r="W190" s="357"/>
      <c r="X190" s="357"/>
    </row>
    <row r="191" spans="2:24" x14ac:dyDescent="0.2">
      <c r="B191" s="241" t="s">
        <v>943</v>
      </c>
      <c r="C191" s="368"/>
      <c r="D191" s="368"/>
      <c r="E191" s="368"/>
      <c r="F191" s="367"/>
      <c r="G191" s="367" t="s">
        <v>948</v>
      </c>
      <c r="H191" s="367"/>
      <c r="J191" s="241" t="s">
        <v>943</v>
      </c>
      <c r="K191" s="368"/>
      <c r="L191" s="368"/>
      <c r="M191" s="368"/>
      <c r="O191" s="241" t="s">
        <v>948</v>
      </c>
      <c r="R191" s="241" t="s">
        <v>943</v>
      </c>
      <c r="T191" s="354"/>
      <c r="U191" s="354"/>
      <c r="W191" s="241" t="s">
        <v>948</v>
      </c>
    </row>
    <row r="192" spans="2:24" x14ac:dyDescent="0.2">
      <c r="B192" s="241"/>
      <c r="C192" s="368"/>
      <c r="D192" s="368"/>
      <c r="E192" s="368"/>
      <c r="F192" s="367"/>
      <c r="G192" s="367"/>
      <c r="H192" s="367"/>
      <c r="J192" s="241"/>
      <c r="K192" s="368"/>
      <c r="L192" s="368"/>
      <c r="M192" s="368"/>
      <c r="O192" s="241"/>
      <c r="T192" s="354"/>
      <c r="U192" s="354"/>
    </row>
    <row r="193" spans="2:24" x14ac:dyDescent="0.2">
      <c r="B193" s="241"/>
      <c r="C193" s="368" t="s">
        <v>472</v>
      </c>
      <c r="D193" s="368" t="s">
        <v>542</v>
      </c>
      <c r="E193" s="368" t="s">
        <v>502</v>
      </c>
      <c r="F193" s="367" t="s">
        <v>472</v>
      </c>
      <c r="G193" s="367" t="s">
        <v>542</v>
      </c>
      <c r="H193" s="367" t="s">
        <v>502</v>
      </c>
      <c r="J193" s="241"/>
      <c r="K193" s="368" t="s">
        <v>472</v>
      </c>
      <c r="L193" s="368" t="s">
        <v>542</v>
      </c>
      <c r="M193" s="368" t="s">
        <v>502</v>
      </c>
      <c r="N193" s="367" t="s">
        <v>472</v>
      </c>
      <c r="O193" s="367" t="s">
        <v>542</v>
      </c>
      <c r="P193" s="367" t="s">
        <v>502</v>
      </c>
      <c r="S193" s="241" t="s">
        <v>472</v>
      </c>
      <c r="T193" s="241" t="s">
        <v>542</v>
      </c>
      <c r="U193" s="241" t="s">
        <v>502</v>
      </c>
      <c r="V193" s="241" t="s">
        <v>472</v>
      </c>
      <c r="W193" s="241" t="s">
        <v>542</v>
      </c>
      <c r="X193" s="241" t="s">
        <v>502</v>
      </c>
    </row>
    <row r="194" spans="2:24" x14ac:dyDescent="0.2">
      <c r="B194" s="241" t="s">
        <v>500</v>
      </c>
      <c r="C194" s="368">
        <f>(C134-'Ausgabe Standortbewertung'!$AA$164)*(Eingabe!$R$49-Eingabe!$P$49/'Ausgabe Standortbewertung'!$F$38)*1000</f>
        <v>139740.58367832241</v>
      </c>
      <c r="D194" s="368">
        <f>(D134-'Ausgabe Standortbewertung'!$AB$164)*(Eingabe!$R$49-Eingabe!$P$49/'Ausgabe Standortbewertung'!$F$38)*1000</f>
        <v>184904.59828691016</v>
      </c>
      <c r="E194" s="368">
        <f>(E134-'Ausgabe Standortbewertung'!$AC$164)*(Eingabe!$R$49-Eingabe!$P$49/'Ausgabe Standortbewertung'!$F$38)*1000</f>
        <v>220535.71007709819</v>
      </c>
      <c r="F194" s="367">
        <f>(C134-'Ausgabe Standortbewertung'!$AA$164)*($M$12-$O$15)*1000</f>
        <v>169877.16645147782</v>
      </c>
      <c r="G194" s="367">
        <f>(C134-'Ausgabe Standortbewertung'!$AB$164)*($M$12-$O$15)*1000</f>
        <v>230578.53458322582</v>
      </c>
      <c r="H194" s="367">
        <f>(C134-'Ausgabe Standortbewertung'!$AC$164)*($M$12-$O$15)*1000</f>
        <v>278467.48450196086</v>
      </c>
      <c r="J194" s="241" t="s">
        <v>500</v>
      </c>
      <c r="K194" s="368">
        <f>(K134-'Ausgabe Standortbewertung'!$AA$164)*(Eingabe!$R$49-Eingabe!$P$49/'Ausgabe Standortbewertung'!$F$38)*1000</f>
        <v>150395.81182913069</v>
      </c>
      <c r="L194" s="368">
        <f>(L134-'Ausgabe Standortbewertung'!$AB$164)*(Eingabe!$R$49-Eingabe!$P$49/'Ausgabe Standortbewertung'!$F$38)*1000</f>
        <v>199003.58534578708</v>
      </c>
      <c r="M194" s="368">
        <f>(M134-'Ausgabe Standortbewertung'!$AC$164)*(Eingabe!$R$49-Eingabe!$P$49/'Ausgabe Standortbewertung'!$F$38)*1000</f>
        <v>237351.57161436847</v>
      </c>
      <c r="N194" s="367">
        <f>(K134-'Ausgabe Standortbewertung'!$AA$164)*($M$12-$O$15)*1000</f>
        <v>182830.31090320038</v>
      </c>
      <c r="O194" s="367">
        <f>(K134-'Ausgabe Standortbewertung'!$AB$164)*($M$12-$O$15)*1000</f>
        <v>243531.67903494835</v>
      </c>
      <c r="P194" s="367">
        <f>(K134-'Ausgabe Standortbewertung'!$AC$164)*($M$12-$O$15)*1000</f>
        <v>291420.62895368342</v>
      </c>
      <c r="R194" s="241" t="s">
        <v>500</v>
      </c>
      <c r="S194" s="368">
        <f>(S134-'Ausgabe Standortbewertung'!$AA$164)*(Eingabe!$R$49-Eingabe!$P$49/'Ausgabe Standortbewertung'!$F$38)*1000</f>
        <v>148859.99380885894</v>
      </c>
      <c r="T194" s="368">
        <f>(T134-'Ausgabe Standortbewertung'!$AB$164)*(Eingabe!$R$49-Eingabe!$P$49/'Ausgabe Standortbewertung'!$F$38)*1000</f>
        <v>196971.39250241203</v>
      </c>
      <c r="U194" s="368">
        <f>(U134-'Ausgabe Standortbewertung'!$AC$164)*(Eingabe!$R$49-Eingabe!$P$49/'Ausgabe Standortbewertung'!$F$38)*1000</f>
        <v>234927.77525733082</v>
      </c>
      <c r="V194" s="367">
        <f>(S134-'Ausgabe Standortbewertung'!$AA$164)*($M$12-$O$15)*1000</f>
        <v>180963.2769564304</v>
      </c>
      <c r="W194" s="367">
        <f>(S134-'Ausgabe Standortbewertung'!$AB$164)*($M$12-$O$15)*1000</f>
        <v>241664.64508817837</v>
      </c>
      <c r="X194" s="367">
        <f>(S134-'Ausgabe Standortbewertung'!$AC$164)*($M$12-$O$15)*1000</f>
        <v>289553.59500691341</v>
      </c>
    </row>
    <row r="195" spans="2:24" x14ac:dyDescent="0.2">
      <c r="B195" s="241" t="s">
        <v>587</v>
      </c>
      <c r="C195" s="368">
        <f>(C135-'Ausgabe Standortbewertung'!$AA$164)*(Eingabe!$R$49-Eingabe!$P$49/'Ausgabe Standortbewertung'!$F$38)*1000</f>
        <v>109974.51046314054</v>
      </c>
      <c r="D195" s="368">
        <f>(D135-'Ausgabe Standortbewertung'!$AB$164)*(Eingabe!$R$49-Eingabe!$P$49/'Ausgabe Standortbewertung'!$F$38)*1000</f>
        <v>145518.16046365263</v>
      </c>
      <c r="E195" s="368">
        <f>(E135-'Ausgabe Standortbewertung'!$AC$164)*(Eingabe!$R$49-Eingabe!$P$49/'Ausgabe Standortbewertung'!$F$38)*1000</f>
        <v>173559.5066011759</v>
      </c>
      <c r="F195" s="367">
        <f>(C135-'Ausgabe Standortbewertung'!$AA$164)*($M$12-$O$15)*1000</f>
        <v>133691.7145156081</v>
      </c>
      <c r="G195" s="367">
        <f>(C135-'Ausgabe Standortbewertung'!$AB$164)*($M$12-$O$15)*1000</f>
        <v>194393.08264735603</v>
      </c>
      <c r="H195" s="367">
        <f>(C135-'Ausgabe Standortbewertung'!$AC$164)*($M$12-$O$15)*1000</f>
        <v>242282.0325660911</v>
      </c>
      <c r="J195" s="241" t="s">
        <v>587</v>
      </c>
      <c r="K195" s="368">
        <f>(K135-'Ausgabe Standortbewertung'!$AA$164)*(Eingabe!$R$49-Eingabe!$P$49/'Ausgabe Standortbewertung'!$F$38)*1000</f>
        <v>106044.24553689007</v>
      </c>
      <c r="L195" s="368">
        <f>(L135-'Ausgabe Standortbewertung'!$AB$164)*(Eingabe!$R$49-Eingabe!$P$49/'Ausgabe Standortbewertung'!$F$38)*1000</f>
        <v>140317.63790806936</v>
      </c>
      <c r="M195" s="368">
        <f>(M135-'Ausgabe Standortbewertung'!$AC$164)*(Eingabe!$R$49-Eingabe!$P$49/'Ausgabe Standortbewertung'!$F$38)*1000</f>
        <v>167356.84347006268</v>
      </c>
      <c r="N195" s="367">
        <f>(K135-'Ausgabe Standortbewertung'!$AA$164)*($M$12-$O$15)*1000</f>
        <v>128913.84504132571</v>
      </c>
      <c r="O195" s="367">
        <f>(K135-'Ausgabe Standortbewertung'!$AB$164)*($M$12-$O$15)*1000</f>
        <v>189615.21317307366</v>
      </c>
      <c r="P195" s="367">
        <f>(K135-'Ausgabe Standortbewertung'!$AC$164)*($M$12-$O$15)*1000</f>
        <v>237504.16309180876</v>
      </c>
      <c r="R195" s="241" t="s">
        <v>587</v>
      </c>
      <c r="S195" s="368">
        <f>(S135-'Ausgabe Standortbewertung'!$AA$164)*(Eingabe!$R$49-Eingabe!$P$49/'Ausgabe Standortbewertung'!$F$38)*1000</f>
        <v>81141.702595377879</v>
      </c>
      <c r="T195" s="368">
        <f>(T135-'Ausgabe Standortbewertung'!$AB$164)*(Eingabe!$R$49-Eingabe!$P$49/'Ausgabe Standortbewertung'!$F$38)*1000</f>
        <v>107366.61839950309</v>
      </c>
      <c r="U195" s="368">
        <f>(U135-'Ausgabe Standortbewertung'!$AC$164)*(Eingabe!$R$49-Eingabe!$P$49/'Ausgabe Standortbewertung'!$F$38)*1000</f>
        <v>128056.16326842582</v>
      </c>
      <c r="V195" s="367">
        <f>(S135-'Ausgabe Standortbewertung'!$AA$164)*($M$12-$O$15)*1000</f>
        <v>98640.796790156921</v>
      </c>
      <c r="W195" s="367">
        <f>(S135-'Ausgabe Standortbewertung'!$AB$164)*($M$12-$O$15)*1000</f>
        <v>159342.16492190488</v>
      </c>
      <c r="X195" s="367">
        <f>(S135-'Ausgabe Standortbewertung'!$AC$164)*($M$12-$O$15)*1000</f>
        <v>207231.11484063999</v>
      </c>
    </row>
    <row r="196" spans="2:24" x14ac:dyDescent="0.2">
      <c r="B196" s="241" t="s">
        <v>588</v>
      </c>
      <c r="C196" s="368">
        <f>(C136-'Ausgabe Standortbewertung'!$AA$164)*(Eingabe!$R$49-Eingabe!$P$49/'Ausgabe Standortbewertung'!$F$38)*1000</f>
        <v>85222.877697436023</v>
      </c>
      <c r="D196" s="368">
        <f>(D136-'Ausgabe Standortbewertung'!$AB$164)*(Eingabe!$R$49-Eingabe!$P$49/'Ausgabe Standortbewertung'!$F$38)*1000</f>
        <v>112766.82514632566</v>
      </c>
      <c r="E196" s="368">
        <f>(E136-'Ausgabe Standortbewertung'!$AC$164)*(Eingabe!$R$49-Eingabe!$P$49/'Ausgabe Standortbewertung'!$F$38)*1000</f>
        <v>134496.98972978684</v>
      </c>
      <c r="F196" s="367">
        <f>(C136-'Ausgabe Standortbewertung'!$AA$164)*($M$12-$O$15)*1000</f>
        <v>103602.12186752963</v>
      </c>
      <c r="G196" s="367">
        <f>(C136-'Ausgabe Standortbewertung'!$AB$164)*($M$12-$O$15)*1000</f>
        <v>164303.48999927758</v>
      </c>
      <c r="H196" s="367">
        <f>(C136-'Ausgabe Standortbewertung'!$AC$164)*($M$12-$O$15)*1000</f>
        <v>212192.43991801268</v>
      </c>
      <c r="J196" s="241" t="s">
        <v>588</v>
      </c>
      <c r="K196" s="368">
        <f>(K136-'Ausgabe Standortbewertung'!$AA$164)*(Eingabe!$R$49-Eingabe!$P$49/'Ausgabe Standortbewertung'!$F$38)*1000</f>
        <v>61164.444725438589</v>
      </c>
      <c r="L196" s="368">
        <f>(L136-'Ausgabe Standortbewertung'!$AB$164)*(Eingabe!$R$49-Eingabe!$P$49/'Ausgabe Standortbewertung'!$F$38)*1000</f>
        <v>80932.731091444308</v>
      </c>
      <c r="M196" s="368">
        <f>(M136-'Ausgabe Standortbewertung'!$AC$164)*(Eingabe!$R$49-Eingabe!$P$49/'Ausgabe Standortbewertung'!$F$38)*1000</f>
        <v>96528.466490787439</v>
      </c>
      <c r="N196" s="367">
        <f>(K136-'Ausgabe Standortbewertung'!$AA$164)*($M$12-$O$15)*1000</f>
        <v>74355.22511809424</v>
      </c>
      <c r="O196" s="367">
        <f>(K136-'Ausgabe Standortbewertung'!$AB$164)*($M$12-$O$15)*1000</f>
        <v>135056.5932498422</v>
      </c>
      <c r="P196" s="367">
        <f>(K136-'Ausgabe Standortbewertung'!$AC$164)*($M$12-$O$15)*1000</f>
        <v>182945.54316857728</v>
      </c>
      <c r="R196" s="241" t="s">
        <v>588</v>
      </c>
      <c r="S196" s="368">
        <f>(S136-'Ausgabe Standortbewertung'!$AA$164)*(Eingabe!$R$49-Eingabe!$P$49/'Ausgabe Standortbewertung'!$F$38)*1000</f>
        <v>43618.38458327172</v>
      </c>
      <c r="T196" s="368">
        <f>(T136-'Ausgabe Standortbewertung'!$AB$164)*(Eingabe!$R$49-Eingabe!$P$49/'Ausgabe Standortbewertung'!$F$38)*1000</f>
        <v>57715.8021456364</v>
      </c>
      <c r="U196" s="368">
        <f>(U136-'Ausgabe Standortbewertung'!$AC$164)*(Eingabe!$R$49-Eingabe!$P$49/'Ausgabe Standortbewertung'!$F$38)*1000</f>
        <v>68837.635876999804</v>
      </c>
      <c r="V196" s="367">
        <f>(S136-'Ausgabe Standortbewertung'!$AA$164)*($M$12-$O$15)*1000</f>
        <v>53025.165511359482</v>
      </c>
      <c r="W196" s="367">
        <f>(S136-'Ausgabe Standortbewertung'!$AB$164)*($M$12-$O$15)*1000</f>
        <v>113726.53364310745</v>
      </c>
      <c r="X196" s="367">
        <f>(S136-'Ausgabe Standortbewertung'!$AC$164)*($M$12-$O$15)*1000</f>
        <v>161615.48356184253</v>
      </c>
    </row>
    <row r="197" spans="2:24" x14ac:dyDescent="0.2">
      <c r="B197" s="241" t="s">
        <v>589</v>
      </c>
      <c r="C197" s="368">
        <f>(C137-'Ausgabe Standortbewertung'!$AA$164)*(Eingabe!$R$49-Eingabe!$P$49/'Ausgabe Standortbewertung'!$F$38)*1000</f>
        <v>63886.904818668751</v>
      </c>
      <c r="D197" s="368">
        <f>(D137-'Ausgabe Standortbewertung'!$AB$164)*(Eingabe!$R$49-Eingabe!$P$49/'Ausgabe Standortbewertung'!$F$38)*1000</f>
        <v>84535.087519621695</v>
      </c>
      <c r="E197" s="368">
        <f>(E137-'Ausgabe Standortbewertung'!$AC$164)*(Eingabe!$R$49-Eingabe!$P$49/'Ausgabe Standortbewertung'!$F$38)*1000</f>
        <v>100824.99691890688</v>
      </c>
      <c r="F197" s="367">
        <f>(C137-'Ausgabe Standortbewertung'!$AA$164)*($M$12-$O$15)*1000</f>
        <v>77664.813458442004</v>
      </c>
      <c r="G197" s="367">
        <f>(C137-'Ausgabe Standortbewertung'!$AB$164)*($M$12-$O$15)*1000</f>
        <v>138366.18159018995</v>
      </c>
      <c r="H197" s="367">
        <f>(C137-'Ausgabe Standortbewertung'!$AC$164)*($M$12-$O$15)*1000</f>
        <v>186255.13150892506</v>
      </c>
      <c r="J197" s="241" t="s">
        <v>589</v>
      </c>
      <c r="K197" s="368">
        <f>(K137-'Ausgabe Standortbewertung'!$AA$164)*(Eingabe!$R$49-Eingabe!$P$49/'Ausgabe Standortbewertung'!$F$38)*1000</f>
        <v>25187.228352261358</v>
      </c>
      <c r="L197" s="368">
        <f>(L137-'Ausgabe Standortbewertung'!$AB$164)*(Eingabe!$R$49-Eingabe!$P$49/'Ausgabe Standortbewertung'!$F$38)*1000</f>
        <v>33327.714954707335</v>
      </c>
      <c r="M197" s="368">
        <f>(M137-'Ausgabe Standortbewertung'!$AC$164)*(Eingabe!$R$49-Eingabe!$P$49/'Ausgabe Standortbewertung'!$F$38)*1000</f>
        <v>39749.964851489749</v>
      </c>
      <c r="N197" s="367">
        <f>(K137-'Ausgabe Standortbewertung'!$AA$164)*($M$12-$O$15)*1000</f>
        <v>30619.129179379794</v>
      </c>
      <c r="O197" s="367">
        <f>(K137-'Ausgabe Standortbewertung'!$AB$164)*($M$12-$O$15)*1000</f>
        <v>91320.497311127765</v>
      </c>
      <c r="P197" s="367">
        <f>(K137-'Ausgabe Standortbewertung'!$AC$164)*($M$12-$O$15)*1000</f>
        <v>139209.44722986282</v>
      </c>
      <c r="R197" s="241" t="s">
        <v>589</v>
      </c>
      <c r="S197" s="368">
        <f>(S137-'Ausgabe Standortbewertung'!$AA$164)*(Eingabe!$R$49-Eingabe!$P$49/'Ausgabe Standortbewertung'!$F$38)*1000</f>
        <v>9431.0421319377128</v>
      </c>
      <c r="T197" s="368">
        <f>(T137-'Ausgabe Standortbewertung'!$AB$164)*(Eingabe!$R$49-Eingabe!$P$49/'Ausgabe Standortbewertung'!$F$38)*1000</f>
        <v>12479.145363004418</v>
      </c>
      <c r="U197" s="368">
        <f>(U137-'Ausgabe Standortbewertung'!$AC$164)*(Eingabe!$R$49-Eingabe!$P$49/'Ausgabe Standortbewertung'!$F$38)*1000</f>
        <v>14883.876384270201</v>
      </c>
      <c r="V197" s="367">
        <f>(S137-'Ausgabe Standortbewertung'!$AA$164)*($M$12-$O$15)*1000</f>
        <v>11464.949350334049</v>
      </c>
      <c r="W197" s="367">
        <f>(S137-'Ausgabe Standortbewertung'!$AB$164)*($M$12-$O$15)*1000</f>
        <v>72166.317482082028</v>
      </c>
      <c r="X197" s="367">
        <f>(S137-'Ausgabe Standortbewertung'!$AC$164)*($M$12-$O$15)*1000</f>
        <v>120055.2674008171</v>
      </c>
    </row>
    <row r="198" spans="2:24" x14ac:dyDescent="0.2">
      <c r="B198" s="241" t="s">
        <v>501</v>
      </c>
      <c r="C198" s="368">
        <f>(C138-'Ausgabe Standortbewertung'!$AA$164)*(Eingabe!$R$49-Eingabe!$P$49/'Ausgabe Standortbewertung'!$F$38)*1000</f>
        <v>30599.829265765806</v>
      </c>
      <c r="D198" s="368">
        <f>(D138-'Ausgabe Standortbewertung'!$AB$164)*(Eingabe!$R$49-Eingabe!$P$49/'Ausgabe Standortbewertung'!$F$38)*1000</f>
        <v>40489.662981937174</v>
      </c>
      <c r="E198" s="368">
        <f>(E138-'Ausgabe Standortbewertung'!$AC$164)*(Eingabe!$R$49-Eingabe!$P$49/'Ausgabe Standortbewertung'!$F$38)*1000</f>
        <v>48292.02009702559</v>
      </c>
      <c r="F198" s="367">
        <f>(C138-'Ausgabe Standortbewertung'!$AA$164)*($M$12-$O$15)*1000</f>
        <v>37199.016582994904</v>
      </c>
      <c r="G198" s="367">
        <f>(C138-'Ausgabe Standortbewertung'!$AB$164)*($M$12-$O$15)*1000</f>
        <v>97900.384714742875</v>
      </c>
      <c r="H198" s="367">
        <f>(C138-'Ausgabe Standortbewertung'!$AC$164)*($M$12-$O$15)*1000</f>
        <v>145789.33463347796</v>
      </c>
      <c r="J198" s="241" t="s">
        <v>501</v>
      </c>
      <c r="K198" s="368">
        <f>(K138-'Ausgabe Standortbewertung'!$AA$164)*(Eingabe!$R$49-Eingabe!$P$49/'Ausgabe Standortbewertung'!$F$38)*1000</f>
        <v>-53167.129991107096</v>
      </c>
      <c r="L198" s="368">
        <f>(L138-'Ausgabe Standortbewertung'!$AB$164)*(Eingabe!$R$49-Eingabe!$P$49/'Ausgabe Standortbewertung'!$F$38)*1000</f>
        <v>-70350.692363671726</v>
      </c>
      <c r="M198" s="368">
        <f>(M138-'Ausgabe Standortbewertung'!$AC$164)*(Eingabe!$R$49-Eingabe!$P$49/'Ausgabe Standortbewertung'!$F$38)*1000</f>
        <v>-83907.269146243678</v>
      </c>
      <c r="N198" s="367">
        <f>(K138-'Ausgabe Standortbewertung'!$AA$164)*($M$12-$O$15)*1000</f>
        <v>-64633.202134304185</v>
      </c>
      <c r="O198" s="367">
        <f>(K138-'Ausgabe Standortbewertung'!$AB$164)*($M$12-$O$15)*1000</f>
        <v>-3931.8340025562184</v>
      </c>
      <c r="P198" s="367">
        <f>(K138-'Ausgabe Standortbewertung'!$AC$164)*($M$12-$O$15)*1000</f>
        <v>43957.11591617886</v>
      </c>
      <c r="Q198" s="367"/>
      <c r="R198" s="367" t="s">
        <v>501</v>
      </c>
      <c r="S198" s="368">
        <f>(S138-'Ausgabe Standortbewertung'!$AA$164)*(Eingabe!$R$49-Eingabe!$P$49/'Ausgabe Standortbewertung'!$F$38)*1000</f>
        <v>-65273.555158243129</v>
      </c>
      <c r="T198" s="368">
        <f>(T138-'Ausgabe Standortbewertung'!$AB$164)*(Eingabe!$R$49-Eingabe!$P$49/'Ausgabe Standortbewertung'!$F$38)*1000</f>
        <v>-86369.901839516257</v>
      </c>
      <c r="U198" s="368">
        <f>(U138-'Ausgabe Standortbewertung'!$AC$164)*(Eingabe!$R$49-Eingabe!$P$49/'Ausgabe Standortbewertung'!$F$38)*1000</f>
        <v>-103013.37991557897</v>
      </c>
      <c r="V198" s="367">
        <f>(S138-'Ausgabe Standortbewertung'!$AA$164)*($M$12-$O$15)*1000</f>
        <v>-79350.510085329763</v>
      </c>
      <c r="W198" s="367">
        <f>(S138-'Ausgabe Standortbewertung'!$AB$164)*($M$12-$O$15)*1000</f>
        <v>-18649.141953581788</v>
      </c>
      <c r="X198" s="367">
        <f>(S138-'Ausgabe Standortbewertung'!$AC$164)*($M$12-$O$15)*1000</f>
        <v>29239.80796515329</v>
      </c>
    </row>
    <row r="199" spans="2:24" x14ac:dyDescent="0.2">
      <c r="C199" s="368"/>
      <c r="D199" s="368"/>
      <c r="E199" s="368"/>
      <c r="F199" s="367"/>
      <c r="G199" s="367"/>
      <c r="H199" s="367"/>
      <c r="J199" s="241"/>
      <c r="K199" s="368"/>
      <c r="L199" s="368"/>
      <c r="M199" s="368"/>
      <c r="O199" s="357"/>
      <c r="P199" s="367"/>
      <c r="Q199" s="367"/>
      <c r="R199" s="367"/>
      <c r="W199" s="357"/>
      <c r="X199" s="357"/>
    </row>
    <row r="200" spans="2:24" x14ac:dyDescent="0.2">
      <c r="B200" s="241" t="s">
        <v>944</v>
      </c>
      <c r="C200" s="368"/>
      <c r="D200" s="368"/>
      <c r="E200" s="368"/>
      <c r="F200" s="367"/>
      <c r="G200" s="367" t="s">
        <v>949</v>
      </c>
      <c r="H200" s="367"/>
      <c r="J200" s="241" t="s">
        <v>944</v>
      </c>
      <c r="K200" s="368"/>
      <c r="L200" s="368"/>
      <c r="M200" s="368"/>
      <c r="O200" s="241" t="s">
        <v>949</v>
      </c>
      <c r="P200" s="367"/>
      <c r="Q200" s="367"/>
      <c r="R200" s="367" t="s">
        <v>944</v>
      </c>
      <c r="T200" s="354"/>
      <c r="U200" s="354"/>
      <c r="W200" s="241" t="s">
        <v>949</v>
      </c>
    </row>
    <row r="201" spans="2:24" x14ac:dyDescent="0.2">
      <c r="B201" s="241"/>
      <c r="C201" s="368"/>
      <c r="D201" s="368"/>
      <c r="E201" s="368"/>
      <c r="F201" s="367"/>
      <c r="G201" s="367"/>
      <c r="H201" s="367"/>
      <c r="J201" s="241"/>
      <c r="K201" s="368"/>
      <c r="L201" s="368"/>
      <c r="M201" s="368"/>
      <c r="O201" s="241"/>
      <c r="P201" s="367"/>
      <c r="Q201" s="367"/>
      <c r="R201" s="367"/>
      <c r="T201" s="354"/>
      <c r="U201" s="354"/>
    </row>
    <row r="202" spans="2:24" x14ac:dyDescent="0.2">
      <c r="B202" s="241"/>
      <c r="C202" s="368" t="s">
        <v>472</v>
      </c>
      <c r="D202" s="368" t="s">
        <v>542</v>
      </c>
      <c r="E202" s="368" t="s">
        <v>502</v>
      </c>
      <c r="F202" s="367" t="s">
        <v>472</v>
      </c>
      <c r="G202" s="367" t="s">
        <v>542</v>
      </c>
      <c r="H202" s="367" t="s">
        <v>502</v>
      </c>
      <c r="J202" s="241"/>
      <c r="K202" s="368" t="s">
        <v>472</v>
      </c>
      <c r="L202" s="368" t="s">
        <v>542</v>
      </c>
      <c r="M202" s="368" t="s">
        <v>502</v>
      </c>
      <c r="N202" s="241" t="s">
        <v>472</v>
      </c>
      <c r="O202" s="241" t="s">
        <v>542</v>
      </c>
      <c r="P202" s="367" t="s">
        <v>502</v>
      </c>
      <c r="Q202" s="367"/>
      <c r="R202" s="367"/>
      <c r="S202" s="241" t="s">
        <v>472</v>
      </c>
      <c r="T202" s="241" t="s">
        <v>542</v>
      </c>
      <c r="U202" s="241" t="s">
        <v>502</v>
      </c>
      <c r="V202" s="241" t="s">
        <v>472</v>
      </c>
      <c r="W202" s="241" t="s">
        <v>542</v>
      </c>
      <c r="X202" s="241" t="s">
        <v>502</v>
      </c>
    </row>
    <row r="203" spans="2:24" x14ac:dyDescent="0.2">
      <c r="B203" s="241" t="s">
        <v>500</v>
      </c>
      <c r="C203" s="368">
        <f>(C143-'Ausgabe Standortbewertung'!$AI$164)*('Berechnung-WÜ-Material'!$N$13/'Ausgabe Standortbewertung'!$Z$31-'Berechnung-WÜ-Material'!$N$16)*1000</f>
        <v>6319.5231748076658</v>
      </c>
      <c r="D203" s="368">
        <f>(C143-'Ausgabe Standortbewertung'!$AJ$164)*('Berechnung-WÜ-Material'!$N$13/'Ausgabe Standortbewertung'!$Z$31-'Berechnung-WÜ-Material'!$N$16)*1000</f>
        <v>18221.512365346483</v>
      </c>
      <c r="E203" s="368">
        <f>(C143-'Ausgabe Standortbewertung'!$AK$164)*('Berechnung-WÜ-Material'!$N$13/'Ausgabe Standortbewertung'!$Z$31-'Berechnung-WÜ-Material'!$N$16)*1000</f>
        <v>27611.313317475775</v>
      </c>
      <c r="F203" s="367">
        <f>(C143-'Ausgabe Standortbewertung'!$AI$164)*($N$12/'Ausgabe Standortbewertung'!$Z$31-$O$16)*1000</f>
        <v>7523.1948545093128</v>
      </c>
      <c r="G203" s="367">
        <f>(D143-'Ausgabe Standortbewertung'!$AI$164)*($N$12/'Ausgabe Standortbewertung'!$Z$31-$O$16)*1000</f>
        <v>6169.9998162385746</v>
      </c>
      <c r="H203" s="367">
        <f>(E143-'Ausgabe Standortbewertung'!$AI$164)*($N$12/'Ausgabe Standortbewertung'!$Z$31-$O$16)*1000</f>
        <v>5102.4276772156391</v>
      </c>
      <c r="J203" s="241" t="s">
        <v>500</v>
      </c>
      <c r="K203" s="368">
        <f>(K143-'Ausgabe Standortbewertung'!$AI$164)*('Berechnung-WÜ-Material'!$N$13/'Ausgabe Standortbewertung'!$Z$31-'Berechnung-WÜ-Material'!$N$16)*1000</f>
        <v>6801.3872078569384</v>
      </c>
      <c r="L203" s="368">
        <f>(K143-'Ausgabe Standortbewertung'!$AJ$164)*('Berechnung-WÜ-Material'!$N$13/'Ausgabe Standortbewertung'!$Z$31-'Berechnung-WÜ-Material'!$N$16)*1000</f>
        <v>18703.376398395758</v>
      </c>
      <c r="M203" s="368">
        <f>(K143-'Ausgabe Standortbewertung'!$AK$164)*('Berechnung-WÜ-Material'!$N$13/'Ausgabe Standortbewertung'!$Z$31-'Berechnung-WÜ-Material'!$N$16)*1000</f>
        <v>28093.177350525049</v>
      </c>
      <c r="N203" s="367">
        <f>(K143-'Ausgabe Standortbewertung'!$AI$164)*($N$12/'Ausgabe Standortbewertung'!$Z$31-$O$16)*1000</f>
        <v>8096.8389276034395</v>
      </c>
      <c r="O203" s="367">
        <f>(L143-'Ausgabe Standortbewertung'!$AI$164)*($N$12/'Ausgabe Standortbewertung'!$Z$31-$O$16)*1000</f>
        <v>7720.8457078429192</v>
      </c>
      <c r="P203" s="367">
        <f>(M143-'Ausgabe Standortbewertung'!$AI$164)*($N$12/'Ausgabe Standortbewertung'!$Z$31-$O$16)*1000</f>
        <v>7424.2144946581629</v>
      </c>
      <c r="R203" s="241" t="s">
        <v>500</v>
      </c>
      <c r="S203" s="368">
        <f>(S143-'Ausgabe Standortbewertung'!$AI$164)*('Berechnung-WÜ-Material'!$N$13/'Ausgabe Standortbewertung'!$Z$31-'Berechnung-WÜ-Material'!$N$16)*1000</f>
        <v>6731.9325275062565</v>
      </c>
      <c r="T203" s="368">
        <f>(S143-'Ausgabe Standortbewertung'!$AJ$164)*('Berechnung-WÜ-Material'!$N$13/'Ausgabe Standortbewertung'!$Z$31-'Berechnung-WÜ-Material'!$N$16)*1000</f>
        <v>18633.921718045072</v>
      </c>
      <c r="U203" s="368">
        <f>(S143-'Ausgabe Standortbewertung'!$AK$164)*('Berechnung-WÜ-Material'!$N$13/'Ausgabe Standortbewertung'!$Z$31-'Berechnung-WÜ-Material'!$N$16)*1000</f>
        <v>28023.722670174368</v>
      </c>
      <c r="V203" s="367">
        <f>(S143-'Ausgabe Standortbewertung'!$AI$164)*($N$12/'Ausgabe Standortbewertung'!$Z$31-$O$16)*1000</f>
        <v>8014.1553011047135</v>
      </c>
      <c r="W203" s="367">
        <f>(T143-'Ausgabe Standortbewertung'!$AI$164)*($N$12/'Ausgabe Standortbewertung'!$Z$31-$O$16)*1000</f>
        <v>7497.3106475626973</v>
      </c>
      <c r="X203" s="367">
        <f>(U143-'Ausgabe Standortbewertung'!$AI$164)*($N$12/'Ausgabe Standortbewertung'!$Z$31-$O$16)*1000</f>
        <v>7089.5579314209699</v>
      </c>
    </row>
    <row r="204" spans="2:24" x14ac:dyDescent="0.2">
      <c r="B204" s="241" t="s">
        <v>587</v>
      </c>
      <c r="C204" s="368">
        <f>(C144-'Ausgabe Standortbewertung'!$AI$164)*('Berechnung-WÜ-Material'!$N$13/'Ausgabe Standortbewertung'!$Z$31-'Berechnung-WÜ-Material'!$N$16)*1000</f>
        <v>4973.4046417737727</v>
      </c>
      <c r="D204" s="368">
        <f>(C144-'Ausgabe Standortbewertung'!$AJ$164)*('Berechnung-WÜ-Material'!$N$13/'Ausgabe Standortbewertung'!$Z$31-'Berechnung-WÜ-Material'!$N$16)*1000</f>
        <v>16875.393832312588</v>
      </c>
      <c r="E204" s="368">
        <f>(C144-'Ausgabe Standortbewertung'!$AK$164)*('Berechnung-WÜ-Material'!$N$13/'Ausgabe Standortbewertung'!$Z$31-'Berechnung-WÜ-Material'!$N$16)*1000</f>
        <v>26265.194784441886</v>
      </c>
      <c r="F204" s="367">
        <f>(C144-'Ausgabe Standortbewertung'!$AI$164)*($N$12/'Ausgabe Standortbewertung'!$Z$31-$O$16)*1000</f>
        <v>5920.6828071366208</v>
      </c>
      <c r="G204" s="367">
        <f>(D144-'Ausgabe Standortbewertung'!$AI$164)*($N$12/'Ausgabe Standortbewertung'!$Z$31-$O$16)*1000</f>
        <v>1837.6108986481663</v>
      </c>
      <c r="H204" s="367">
        <f>(E144-'Ausgabe Standortbewertung'!$AI$164)*($N$12/'Ausgabe Standortbewertung'!$Z$31-$O$16)*1000</f>
        <v>-1383.634884738545</v>
      </c>
      <c r="J204" s="241" t="s">
        <v>587</v>
      </c>
      <c r="K204" s="368">
        <f>(K144-'Ausgabe Standortbewertung'!$AI$164)*('Berechnung-WÜ-Material'!$N$13/'Ausgabe Standortbewertung'!$Z$31-'Berechnung-WÜ-Material'!$N$16)*1000</f>
        <v>4795.6652933984305</v>
      </c>
      <c r="L204" s="368">
        <f>(K144-'Ausgabe Standortbewertung'!$AJ$164)*('Berechnung-WÜ-Material'!$N$13/'Ausgabe Standortbewertung'!$Z$31-'Berechnung-WÜ-Material'!$N$16)*1000</f>
        <v>16697.654483937251</v>
      </c>
      <c r="M204" s="368">
        <f>(K144-'Ausgabe Standortbewertung'!$AK$164)*('Berechnung-WÜ-Material'!$N$13/'Ausgabe Standortbewertung'!$Z$31-'Berechnung-WÜ-Material'!$N$16)*1000</f>
        <v>26087.455436066542</v>
      </c>
      <c r="N204" s="367">
        <f>(K144-'Ausgabe Standortbewertung'!$AI$164)*($N$12/'Ausgabe Standortbewertung'!$Z$31-$O$16)*1000</f>
        <v>5709.0896672504141</v>
      </c>
      <c r="O204" s="367">
        <f>(L144-'Ausgabe Standortbewertung'!$AI$164)*($N$12/'Ausgabe Standortbewertung'!$Z$31-$O$16)*1000</f>
        <v>1265.5691621856843</v>
      </c>
      <c r="P204" s="367">
        <f>(M144-'Ausgabe Standortbewertung'!$AI$164)*($N$12/'Ausgabe Standortbewertung'!$Z$31-$O$16)*1000</f>
        <v>-2240.0442610251466</v>
      </c>
      <c r="R204" s="241" t="s">
        <v>587</v>
      </c>
      <c r="S204" s="368">
        <f>(S144-'Ausgabe Standortbewertung'!$AI$164)*('Berechnung-WÜ-Material'!$N$13/'Ausgabe Standortbewertung'!$Z$31-'Berechnung-WÜ-Material'!$N$16)*1000</f>
        <v>3669.4913996869632</v>
      </c>
      <c r="T204" s="368">
        <f>(S144-'Ausgabe Standortbewertung'!$AJ$164)*('Berechnung-WÜ-Material'!$N$13/'Ausgabe Standortbewertung'!$Z$31-'Berechnung-WÜ-Material'!$N$16)*1000</f>
        <v>15571.480590225781</v>
      </c>
      <c r="U204" s="368">
        <f>(S144-'Ausgabe Standortbewertung'!$AK$164)*('Berechnung-WÜ-Material'!$N$13/'Ausgabe Standortbewertung'!$Z$31-'Berechnung-WÜ-Material'!$N$16)*1000</f>
        <v>24961.281542355075</v>
      </c>
      <c r="V204" s="367">
        <f>(S144-'Ausgabe Standortbewertung'!$AI$164)*($N$12/'Ausgabe Standortbewertung'!$Z$31-$O$16)*1000</f>
        <v>4368.4148397210893</v>
      </c>
      <c r="W204" s="367">
        <f>(T144-'Ausgabe Standortbewertung'!$AI$164)*($N$12/'Ausgabe Standortbewertung'!$Z$31-$O$16)*1000</f>
        <v>-2358.9432241038307</v>
      </c>
      <c r="X204" s="367">
        <f>(U144-'Ausgabe Standortbewertung'!$AI$164)*($N$12/'Ausgabe Standortbewertung'!$Z$31-$O$16)*1000</f>
        <v>-7666.3378235907776</v>
      </c>
    </row>
    <row r="205" spans="2:24" x14ac:dyDescent="0.2">
      <c r="B205" s="241" t="s">
        <v>588</v>
      </c>
      <c r="C205" s="368">
        <f>(C145-'Ausgabe Standortbewertung'!$AI$164)*('Berechnung-WÜ-Material'!$N$13/'Ausgabe Standortbewertung'!$Z$31-'Berechnung-WÜ-Material'!$N$16)*1000</f>
        <v>3854.0553964802998</v>
      </c>
      <c r="D205" s="368">
        <f>(C145-'Ausgabe Standortbewertung'!$AJ$164)*('Berechnung-WÜ-Material'!$N$13/'Ausgabe Standortbewertung'!$Z$31-'Berechnung-WÜ-Material'!$N$16)*1000</f>
        <v>15756.044587019118</v>
      </c>
      <c r="E205" s="368">
        <f>(C145-'Ausgabe Standortbewertung'!$AK$164)*('Berechnung-WÜ-Material'!$N$13/'Ausgabe Standortbewertung'!$Z$31-'Berechnung-WÜ-Material'!$N$16)*1000</f>
        <v>25145.845539148409</v>
      </c>
      <c r="F205" s="367">
        <f>(C145-'Ausgabe Standortbewertung'!$AI$164)*($N$12/'Ausgabe Standortbewertung'!$Z$31-$O$16)*1000</f>
        <v>4588.1325102786577</v>
      </c>
      <c r="G205" s="367">
        <f>(D145-'Ausgabe Standortbewertung'!$AI$164)*($N$12/'Ausgabe Standortbewertung'!$Z$31-$O$16)*1000</f>
        <v>-1764.9368311515698</v>
      </c>
      <c r="H205" s="367">
        <f>(E145-'Ausgabe Standortbewertung'!$AI$164)*($N$12/'Ausgabe Standortbewertung'!$Z$31-$O$16)*1000</f>
        <v>-6777.0449414937975</v>
      </c>
      <c r="J205" s="241" t="s">
        <v>588</v>
      </c>
      <c r="K205" s="368">
        <f>(K145-'Ausgabe Standortbewertung'!$AI$164)*('Berechnung-WÜ-Material'!$N$13/'Ausgabe Standortbewertung'!$Z$31-'Berechnung-WÜ-Material'!$N$16)*1000</f>
        <v>2766.0548978844186</v>
      </c>
      <c r="L205" s="368">
        <f>(K145-'Ausgabe Standortbewertung'!$AJ$164)*('Berechnung-WÜ-Material'!$N$13/'Ausgabe Standortbewertung'!$Z$31-'Berechnung-WÜ-Material'!$N$16)*1000</f>
        <v>14668.044088423238</v>
      </c>
      <c r="M205" s="368">
        <f>(K145-'Ausgabe Standortbewertung'!$AK$164)*('Berechnung-WÜ-Material'!$N$13/'Ausgabe Standortbewertung'!$Z$31-'Berechnung-WÜ-Material'!$N$16)*1000</f>
        <v>24057.845040552529</v>
      </c>
      <c r="N205" s="367">
        <f>(K145-'Ausgabe Standortbewertung'!$AI$164)*($N$12/'Ausgabe Standortbewertung'!$Z$31-$O$16)*1000</f>
        <v>3292.9019167158417</v>
      </c>
      <c r="O205" s="367">
        <f>(L145-'Ausgabe Standortbewertung'!$AI$164)*($N$12/'Ausgabe Standortbewertung'!$Z$31-$O$16)*1000</f>
        <v>-5266.5907990425058</v>
      </c>
      <c r="P205" s="367">
        <f>(M145-'Ausgabe Standortbewertung'!$AI$164)*($N$12/'Ausgabe Standortbewertung'!$Z$31-$O$16)*1000</f>
        <v>-12019.405943258973</v>
      </c>
      <c r="R205" s="241" t="s">
        <v>588</v>
      </c>
      <c r="S205" s="368">
        <f>(S145-'Ausgabe Standortbewertung'!$AI$164)*('Berechnung-WÜ-Material'!$N$13/'Ausgabe Standortbewertung'!$Z$31-'Berechnung-WÜ-Material'!$N$16)*1000</f>
        <v>1972.5650556619232</v>
      </c>
      <c r="T205" s="368">
        <f>(S145-'Ausgabe Standortbewertung'!$AJ$164)*('Berechnung-WÜ-Material'!$N$13/'Ausgabe Standortbewertung'!$Z$31-'Berechnung-WÜ-Material'!$N$16)*1000</f>
        <v>13874.554246200742</v>
      </c>
      <c r="U205" s="368">
        <f>(S145-'Ausgabe Standortbewertung'!$AK$164)*('Berechnung-WÜ-Material'!$N$13/'Ausgabe Standortbewertung'!$Z$31-'Berechnung-WÜ-Material'!$N$16)*1000</f>
        <v>23264.355198330035</v>
      </c>
      <c r="V205" s="367">
        <f>(S145-'Ausgabe Standortbewertung'!$AI$164)*($N$12/'Ausgabe Standortbewertung'!$Z$31-$O$16)*1000</f>
        <v>2348.2770561075299</v>
      </c>
      <c r="W205" s="367">
        <f>(T145-'Ausgabe Standortbewertung'!$AI$164)*($N$12/'Ausgabe Standortbewertung'!$Z$31-$O$16)*1000</f>
        <v>-7820.3826935180914</v>
      </c>
      <c r="X205" s="367">
        <f>(U145-'Ausgabe Standortbewertung'!$AI$164)*($N$12/'Ausgabe Standortbewertung'!$Z$31-$O$16)*1000</f>
        <v>-15842.713202338775</v>
      </c>
    </row>
    <row r="206" spans="2:24" x14ac:dyDescent="0.2">
      <c r="B206" s="241" t="s">
        <v>589</v>
      </c>
      <c r="C206" s="368">
        <f>(C146-'Ausgabe Standortbewertung'!$AI$164)*('Berechnung-WÜ-Material'!$N$13/'Ausgabe Standortbewertung'!$Z$31-'Berechnung-WÜ-Material'!$N$16)*1000</f>
        <v>2889.1733878662699</v>
      </c>
      <c r="D206" s="368">
        <f>(C146-'Ausgabe Standortbewertung'!$AJ$164)*('Berechnung-WÜ-Material'!$N$13/'Ausgabe Standortbewertung'!$Z$31-'Berechnung-WÜ-Material'!$N$16)*1000</f>
        <v>14791.162578405087</v>
      </c>
      <c r="E206" s="368">
        <f>(C146-'Ausgabe Standortbewertung'!$AK$164)*('Berechnung-WÜ-Material'!$N$13/'Ausgabe Standortbewertung'!$Z$31-'Berechnung-WÜ-Material'!$N$16)*1000</f>
        <v>24180.96353053438</v>
      </c>
      <c r="F206" s="367">
        <f>(C146-'Ausgabe Standortbewertung'!$AI$164)*($N$12/'Ausgabe Standortbewertung'!$Z$31-$O$16)*1000</f>
        <v>3439.4706315864237</v>
      </c>
      <c r="G206" s="367">
        <f>(D146-'Ausgabe Standortbewertung'!$AI$164)*($N$12/'Ausgabe Standortbewertung'!$Z$31-$O$16)*1000</f>
        <v>-4870.3424981253074</v>
      </c>
      <c r="H206" s="367">
        <f>(E146-'Ausgabe Standortbewertung'!$AI$164)*($N$12/'Ausgabe Standortbewertung'!$Z$31-$O$16)*1000</f>
        <v>-11426.178668721872</v>
      </c>
      <c r="J206" s="241" t="s">
        <v>589</v>
      </c>
      <c r="K206" s="368">
        <f>(K146-'Ausgabe Standortbewertung'!$AI$164)*('Berechnung-WÜ-Material'!$N$13/'Ausgabe Standortbewertung'!$Z$31-'Berechnung-WÜ-Material'!$N$16)*1000</f>
        <v>1139.0482928545316</v>
      </c>
      <c r="L206" s="368">
        <f>(K146-'Ausgabe Standortbewertung'!$AJ$164)*('Berechnung-WÜ-Material'!$N$13/'Ausgabe Standortbewertung'!$Z$31-'Berechnung-WÜ-Material'!$N$16)*1000</f>
        <v>13041.037483393349</v>
      </c>
      <c r="M206" s="368">
        <f>(K146-'Ausgabe Standortbewertung'!$AK$164)*('Berechnung-WÜ-Material'!$N$13/'Ausgabe Standortbewertung'!$Z$31-'Berechnung-WÜ-Material'!$N$16)*1000</f>
        <v>22430.838435522644</v>
      </c>
      <c r="N206" s="367">
        <f>(K146-'Ausgabe Standortbewertung'!$AI$164)*($N$12/'Ausgabe Standortbewertung'!$Z$31-$O$16)*1000</f>
        <v>1356.0013973841683</v>
      </c>
      <c r="O206" s="367">
        <f>(L146-'Ausgabe Standortbewertung'!$AI$164)*($N$12/'Ausgabe Standortbewertung'!$Z$31-$O$16)*1000</f>
        <v>-10502.998449259741</v>
      </c>
      <c r="P206" s="367">
        <f>(M146-'Ausgabe Standortbewertung'!$AI$164)*($N$12/'Ausgabe Standortbewertung'!$Z$31-$O$16)*1000</f>
        <v>-19858.883946100548</v>
      </c>
      <c r="R206" s="241" t="s">
        <v>589</v>
      </c>
      <c r="S206" s="368">
        <f>(S146-'Ausgabe Standortbewertung'!$AI$164)*('Berechnung-WÜ-Material'!$N$13/'Ausgabe Standortbewertung'!$Z$31-'Berechnung-WÜ-Material'!$N$16)*1000</f>
        <v>426.50236421342146</v>
      </c>
      <c r="T206" s="368">
        <f>(S146-'Ausgabe Standortbewertung'!$AJ$164)*('Berechnung-WÜ-Material'!$N$13/'Ausgabe Standortbewertung'!$Z$31-'Berechnung-WÜ-Material'!$N$16)*1000</f>
        <v>12328.491554752238</v>
      </c>
      <c r="U206" s="368">
        <f>(S146-'Ausgabe Standortbewertung'!$AK$164)*('Berechnung-WÜ-Material'!$N$13/'Ausgabe Standortbewertung'!$Z$31-'Berechnung-WÜ-Material'!$N$16)*1000</f>
        <v>21718.292506881531</v>
      </c>
      <c r="V206" s="367">
        <f>(S146-'Ausgabe Standortbewertung'!$AI$164)*($N$12/'Ausgabe Standortbewertung'!$Z$31-$O$16)*1000</f>
        <v>507.73773639719656</v>
      </c>
      <c r="W206" s="367">
        <f>(T146-'Ausgabe Standortbewertung'!$AI$164)*($N$12/'Ausgabe Standortbewertung'!$Z$31-$O$16)*1000</f>
        <v>-12796.277985023467</v>
      </c>
      <c r="X206" s="367">
        <f>(U146-'Ausgabe Standortbewertung'!$AI$164)*($N$12/'Ausgabe Standortbewertung'!$Z$31-$O$16)*1000</f>
        <v>-23292.175560484415</v>
      </c>
    </row>
    <row r="207" spans="2:24" x14ac:dyDescent="0.2">
      <c r="B207" s="241" t="s">
        <v>501</v>
      </c>
      <c r="C207" s="368">
        <f>(C147-'Ausgabe Standortbewertung'!$AI$164)*('Berechnung-WÜ-Material'!$N$13/'Ausgabe Standortbewertung'!$Z$31-'Berechnung-WÜ-Material'!$N$16)*1000</f>
        <v>1383.8236902982317</v>
      </c>
      <c r="D207" s="368">
        <f>(C147-'Ausgabe Standortbewertung'!$AJ$164)*('Berechnung-WÜ-Material'!$N$13/'Ausgabe Standortbewertung'!$Z$31-'Berechnung-WÜ-Material'!$N$16)*1000</f>
        <v>13285.812880837049</v>
      </c>
      <c r="E207" s="368">
        <f>(C147-'Ausgabe Standortbewertung'!$AK$164)*('Berechnung-WÜ-Material'!$N$13/'Ausgabe Standortbewertung'!$Z$31-'Berechnung-WÜ-Material'!$N$16)*1000</f>
        <v>22675.613832966344</v>
      </c>
      <c r="F207" s="367">
        <f>(C147-'Ausgabe Standortbewertung'!$AI$164)*($N$12/'Ausgabe Standortbewertung'!$Z$31-$O$16)*1000</f>
        <v>1647.3988588097229</v>
      </c>
      <c r="G207" s="367">
        <f>(D147-'Ausgabe Standortbewertung'!$AI$164)*($N$12/'Ausgabe Standortbewertung'!$Z$31-$O$16)*1000</f>
        <v>-9715.2058491580301</v>
      </c>
      <c r="H207" s="367">
        <f>(E147-'Ausgabe Standortbewertung'!$AI$164)*($N$12/'Ausgabe Standortbewertung'!$Z$31-$O$16)*1000</f>
        <v>-18679.47180483181</v>
      </c>
      <c r="J207" s="241" t="s">
        <v>501</v>
      </c>
      <c r="K207" s="368">
        <f>(K147-'Ausgabe Standortbewertung'!$AI$164)*('Berechnung-WÜ-Material'!$N$13/'Ausgabe Standortbewertung'!$Z$31-'Berechnung-WÜ-Material'!$N$16)*1000</f>
        <v>-2404.3903443988115</v>
      </c>
      <c r="L207" s="368">
        <f>(K147-'Ausgabe Standortbewertung'!$AJ$164)*('Berechnung-WÜ-Material'!$N$13/'Ausgabe Standortbewertung'!$Z$31-'Berechnung-WÜ-Material'!$N$16)*1000</f>
        <v>9497.5988461400066</v>
      </c>
      <c r="M207" s="368">
        <f>(K147-'Ausgabe Standortbewertung'!$AK$164)*('Berechnung-WÜ-Material'!$N$13/'Ausgabe Standortbewertung'!$Z$31-'Berechnung-WÜ-Material'!$N$16)*1000</f>
        <v>18887.3997982693</v>
      </c>
      <c r="N207" s="367">
        <f>(K147-'Ausgabe Standortbewertung'!$AI$164)*($N$12/'Ausgabe Standortbewertung'!$Z$31-$O$16)*1000</f>
        <v>-2862.3515678085228</v>
      </c>
      <c r="O207" s="367">
        <f>(L147-'Ausgabe Standortbewertung'!$AI$164)*($N$12/'Ausgabe Standortbewertung'!$Z$31-$O$16)*1000</f>
        <v>-21907.309366514986</v>
      </c>
      <c r="P207" s="367">
        <f>(M147-'Ausgabe Standortbewertung'!$AI$164)*($N$12/'Ausgabe Standortbewertung'!$Z$31-$O$16)*1000</f>
        <v>-36932.391309431805</v>
      </c>
      <c r="R207" s="241" t="s">
        <v>501</v>
      </c>
      <c r="S207" s="368">
        <f>(S147-'Ausgabe Standortbewertung'!$AI$164)*('Berechnung-WÜ-Material'!$N$13/'Ausgabe Standortbewertung'!$Z$31-'Berechnung-WÜ-Material'!$N$16)*1000</f>
        <v>-2951.8822210887342</v>
      </c>
      <c r="T207" s="368">
        <f>(S147-'Ausgabe Standortbewertung'!$AJ$164)*('Berechnung-WÜ-Material'!$N$13/'Ausgabe Standortbewertung'!$Z$31-'Berechnung-WÜ-Material'!$N$16)*1000</f>
        <v>8950.106969450082</v>
      </c>
      <c r="U207" s="368">
        <f>(S147-'Ausgabe Standortbewertung'!$AK$164)*('Berechnung-WÜ-Material'!$N$13/'Ausgabe Standortbewertung'!$Z$31-'Berechnung-WÜ-Material'!$N$16)*1000</f>
        <v>18339.907921579379</v>
      </c>
      <c r="V207" s="367">
        <f>(S147-'Ausgabe Standortbewertung'!$AI$164)*($N$12/'Ausgabe Standortbewertung'!$Z$31-$O$16)*1000</f>
        <v>-3514.1235378867295</v>
      </c>
      <c r="W207" s="367">
        <f>(T147-'Ausgabe Standortbewertung'!$AI$164)*($N$12/'Ausgabe Standortbewertung'!$Z$31-$O$16)*1000</f>
        <v>-23669.37391048668</v>
      </c>
      <c r="X207" s="367">
        <f>(U147-'Ausgabe Standortbewertung'!$AI$164)*($N$12/'Ausgabe Standortbewertung'!$Z$31-$O$16)*1000</f>
        <v>-39570.395673259394</v>
      </c>
    </row>
    <row r="208" spans="2:24" x14ac:dyDescent="0.2">
      <c r="B208" s="241"/>
      <c r="C208" s="354"/>
      <c r="D208" s="354"/>
      <c r="K208" s="354"/>
      <c r="L208" s="354"/>
      <c r="M208" s="241"/>
      <c r="N208" s="241"/>
      <c r="O208" s="241"/>
      <c r="S208" s="354"/>
      <c r="T208" s="354"/>
    </row>
    <row r="214" spans="13:13" x14ac:dyDescent="0.2">
      <c r="M214" s="368"/>
    </row>
  </sheetData>
  <sheetProtection algorithmName="SHA-512" hashValue="h0TatLfKcq67bnHYk+9ma9x09IaxeAcd8nHCqA3Z3xpmFygw776zp9KU0xeSYCIcJiNA8Inqwi50gSZUHlERyQ==" saltValue="ZHs1cI7T3XifhmhrzWGrdQ==" spinCount="100000" sheet="1" objects="1" scenarios="1"/>
  <mergeCells count="46">
    <mergeCell ref="R50:W50"/>
    <mergeCell ref="B95:E96"/>
    <mergeCell ref="B34:D34"/>
    <mergeCell ref="B33:D33"/>
    <mergeCell ref="B35:D35"/>
    <mergeCell ref="B36:D36"/>
    <mergeCell ref="B37:D37"/>
    <mergeCell ref="B42:D42"/>
    <mergeCell ref="B43:D43"/>
    <mergeCell ref="B50:G50"/>
    <mergeCell ref="J50:O50"/>
    <mergeCell ref="B44:D44"/>
    <mergeCell ref="B45:D45"/>
    <mergeCell ref="J95:M96"/>
    <mergeCell ref="S95:V96"/>
    <mergeCell ref="B38:D38"/>
    <mergeCell ref="AS76:AX76"/>
    <mergeCell ref="AZ76:BE76"/>
    <mergeCell ref="AL112:AQ112"/>
    <mergeCell ref="AS112:AX112"/>
    <mergeCell ref="AZ112:BE112"/>
    <mergeCell ref="AL76:AQ76"/>
    <mergeCell ref="AZ36:BE36"/>
    <mergeCell ref="AL75:AQ75"/>
    <mergeCell ref="AS75:AX75"/>
    <mergeCell ref="AZ75:BE75"/>
    <mergeCell ref="AL37:AQ37"/>
    <mergeCell ref="AS37:AX37"/>
    <mergeCell ref="AZ37:BE37"/>
    <mergeCell ref="AL36:AQ36"/>
    <mergeCell ref="AS36:AX36"/>
    <mergeCell ref="AZ4:BE4"/>
    <mergeCell ref="AL5:AQ5"/>
    <mergeCell ref="AS5:AX5"/>
    <mergeCell ref="AZ5:BE5"/>
    <mergeCell ref="C3:G4"/>
    <mergeCell ref="C16:G16"/>
    <mergeCell ref="AL4:AQ4"/>
    <mergeCell ref="AS4:AX4"/>
    <mergeCell ref="C6:G6"/>
    <mergeCell ref="C14:G14"/>
    <mergeCell ref="C10:G10"/>
    <mergeCell ref="I13:J13"/>
    <mergeCell ref="L14:M14"/>
    <mergeCell ref="L15:M15"/>
    <mergeCell ref="L16:M16"/>
  </mergeCells>
  <conditionalFormatting sqref="C15:G15">
    <cfRule type="colorScale" priority="22">
      <colorScale>
        <cfvo type="num" val="0.25"/>
        <cfvo type="num" val="0.5"/>
        <cfvo type="num" val="0.75"/>
        <color rgb="FFF8696B"/>
        <color rgb="FFFFEB84"/>
        <color rgb="FF63BE7B"/>
      </colorScale>
    </cfRule>
  </conditionalFormatting>
  <conditionalFormatting sqref="J14:J16">
    <cfRule type="cellIs" dxfId="20" priority="1" operator="between">
      <formula>-0.3</formula>
      <formula>-1</formula>
    </cfRule>
    <cfRule type="cellIs" dxfId="19" priority="2" operator="between">
      <formula>-0.2</formula>
      <formula>-0.3</formula>
    </cfRule>
    <cfRule type="cellIs" dxfId="18" priority="3" operator="between">
      <formula>0</formula>
      <formula>-0.2</formula>
    </cfRule>
  </conditionalFormatting>
  <conditionalFormatting sqref="J5:L5">
    <cfRule type="expression" dxfId="17" priority="19">
      <formula>$B$9="Nein"</formula>
    </cfRule>
  </conditionalFormatting>
  <conditionalFormatting sqref="L13">
    <cfRule type="expression" dxfId="16" priority="12">
      <formula>#REF!="NEIN"</formula>
    </cfRule>
    <cfRule type="expression" dxfId="15" priority="13">
      <formula>#REF!="NEIN"</formula>
    </cfRule>
  </conditionalFormatting>
  <conditionalFormatting sqref="M12:M13">
    <cfRule type="expression" dxfId="14" priority="5">
      <formula>#REF!="NEIN"</formula>
    </cfRule>
  </conditionalFormatting>
  <conditionalFormatting sqref="N5">
    <cfRule type="expression" dxfId="13" priority="18">
      <formula>$F$9="Nein"</formula>
    </cfRule>
  </conditionalFormatting>
  <conditionalFormatting sqref="N12:N13">
    <cfRule type="expression" dxfId="12" priority="4">
      <formula>#REF!="NEIN"</formula>
    </cfRule>
  </conditionalFormatting>
  <conditionalFormatting sqref="N15:AJ16">
    <cfRule type="expression" dxfId="10" priority="6">
      <formula>#REF!="NEIN"</formula>
    </cfRule>
  </conditionalFormatting>
  <conditionalFormatting sqref="AN9:AQ9">
    <cfRule type="expression" dxfId="9" priority="20">
      <formula>$B$9="Nein"</formula>
    </cfRule>
  </conditionalFormatting>
  <conditionalFormatting sqref="AR9">
    <cfRule type="expression" dxfId="8" priority="21">
      <formula>$F$9="Nein"</formula>
    </cfRule>
  </conditionalFormatting>
  <pageMargins left="0.7" right="0.7" top="0.78740157499999996" bottom="0.78740157499999996"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0" id="{157290B1-C5B4-44CB-BCF4-FC969C84F826}">
            <xm:f>Eingabe!$A$13=FALSE</xm:f>
            <x14:dxf>
              <font>
                <color theme="0"/>
              </font>
              <fill>
                <patternFill patternType="none">
                  <fgColor indexed="64"/>
                  <bgColor auto="1"/>
                </patternFill>
              </fill>
              <border>
                <left/>
                <right/>
                <top/>
                <bottom/>
                <vertical/>
                <horizontal/>
              </border>
            </x14:dxf>
          </x14:cfRule>
          <xm:sqref>N14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E91F2-A42B-4B76-91C9-B527D6170388}">
  <sheetPr>
    <tabColor theme="5" tint="0.79998168889431442"/>
  </sheetPr>
  <dimension ref="A1:AI239"/>
  <sheetViews>
    <sheetView zoomScaleNormal="100" workbookViewId="0">
      <pane ySplit="1" topLeftCell="A2" activePane="bottomLeft" state="frozen"/>
      <selection activeCell="Q67" sqref="Q67"/>
      <selection pane="bottomLeft" activeCell="Q67" sqref="Q67"/>
    </sheetView>
  </sheetViews>
  <sheetFormatPr baseColWidth="10" defaultRowHeight="12.75" x14ac:dyDescent="0.2"/>
  <cols>
    <col min="1" max="1" width="11.42578125" style="241"/>
    <col min="2" max="2" width="23" style="241" customWidth="1"/>
    <col min="3" max="13" width="11.42578125" style="241"/>
    <col min="14" max="14" width="82.140625" style="241" customWidth="1"/>
    <col min="15" max="15" width="17.28515625" style="241" customWidth="1"/>
    <col min="16" max="16" width="15" style="241" customWidth="1"/>
    <col min="25" max="26" width="11.42578125" style="241"/>
  </cols>
  <sheetData>
    <row r="1" spans="1:28" ht="12.75" customHeight="1" x14ac:dyDescent="0.2">
      <c r="B1" s="241" t="s">
        <v>611</v>
      </c>
      <c r="C1" s="241" t="s">
        <v>612</v>
      </c>
      <c r="D1" s="241" t="s">
        <v>613</v>
      </c>
      <c r="E1" s="129"/>
      <c r="F1" s="241" t="s">
        <v>614</v>
      </c>
      <c r="H1" s="129"/>
      <c r="I1" s="241" t="s">
        <v>615</v>
      </c>
      <c r="K1" s="342"/>
      <c r="L1" s="241" t="s">
        <v>616</v>
      </c>
      <c r="M1" s="241" t="s">
        <v>617</v>
      </c>
      <c r="O1" s="343"/>
      <c r="P1" s="343"/>
      <c r="Q1" t="s">
        <v>565</v>
      </c>
      <c r="R1" t="s">
        <v>566</v>
      </c>
      <c r="S1" t="s">
        <v>567</v>
      </c>
    </row>
    <row r="2" spans="1:28" ht="12.75" customHeight="1" x14ac:dyDescent="0.2">
      <c r="A2" s="241" t="str">
        <f>Z2</f>
        <v/>
      </c>
      <c r="B2" s="241" t="s">
        <v>618</v>
      </c>
      <c r="G2" s="241">
        <v>84</v>
      </c>
      <c r="H2" s="241">
        <f t="shared" ref="H2:H65" si="0">AVERAGE(F2:G2)</f>
        <v>84</v>
      </c>
      <c r="J2" s="241">
        <v>42</v>
      </c>
      <c r="K2" s="241">
        <f t="shared" ref="K2:K65" si="1">AVERAGE(I2:J2)</f>
        <v>42</v>
      </c>
      <c r="L2" s="241">
        <v>0</v>
      </c>
      <c r="N2" s="130" t="s">
        <v>619</v>
      </c>
      <c r="Q2">
        <f>IF(H2&lt;60,'Berechnung-WÜ-Material'!$AL$110,IF(AND(H2&gt;=60,H2&lt;80),'Berechnung-WÜ-Material'!$AM$110,IF(AND('Daten-Materialien'!H2&gt;=80,'Daten-Materialien'!H2&lt;100),'Berechnung-WÜ-Material'!$AN$110,IF(AND(H2&gt;=100,H2&lt;120),'Berechnung-WÜ-Material'!$AO$110,IF(AND('Daten-Materialien'!H2&gt;=120,'Daten-Materialien'!H2&lt;140),'Berechnung-WÜ-Material'!$AP$110,IF('Daten-Materialien'!H2&gt;140,'Berechnung-WÜ-Material'!$AQ$110,"FEHLER"))))))</f>
        <v>2.9517194566014666</v>
      </c>
      <c r="R2" s="241">
        <f>IF(E2&lt;0.1,'Berechnung-WÜ-Material'!$AS$110,IF(AND(E2&gt;=0.1,E2&lt;0.3),'Berechnung-WÜ-Material'!$AT$110,IF(AND('Daten-Materialien'!E2&gt;=0.3,'Daten-Materialien'!E2&lt;0.6),'Berechnung-WÜ-Material'!$AU$110,IF(AND(E2&gt;=0.6,E2&lt;1),'Berechnung-WÜ-Material'!$AV$110,IF(AND('Daten-Materialien'!E2&gt;=1,'Daten-Materialien'!E2&lt;1.5),'Berechnung-WÜ-Material'!$AW$110,IF('Daten-Materialien'!E2&gt;1.5,'Berechnung-WÜ-Material'!$AX$110,"FEHLER"))))))</f>
        <v>5.4090960472347849</v>
      </c>
      <c r="S2">
        <f>IF(K2&lt;15,'Berechnung-WÜ-Material'!$AZ$110,IF(AND(K2&gt;=15,K2&lt;30),'Berechnung-WÜ-Material'!$BA$110,IF(AND('Daten-Materialien'!K2&gt;=30,'Daten-Materialien'!K2&lt;45),'Berechnung-WÜ-Material'!$BB$110,IF(AND(K2&gt;=45,K2&lt;60),'Berechnung-WÜ-Material'!$BC$110,IF(AND('Daten-Materialien'!K2&gt;=60,'Daten-Materialien'!K2&lt;75),'Berechnung-WÜ-Material'!$BD$110,IF('Daten-Materialien'!K2&gt;75,'Berechnung-WÜ-Material'!$BE$110,"FEHLER"))))))</f>
        <v>5.9436257603083487</v>
      </c>
      <c r="T2">
        <f>SUM(Q2:S2)+(L2*3*'Berechnung-WÜ-Material'!$G$22)</f>
        <v>14.3044412641446</v>
      </c>
      <c r="U2">
        <f t="shared" ref="U2:U65" si="2">3.703703704*T2-11.111111111111</f>
        <v>41.868300982551801</v>
      </c>
      <c r="V2">
        <f>100/'Berechnung-WÜ-Material'!$BF$112*'Daten-Materialien'!T2</f>
        <v>69.82359054346108</v>
      </c>
      <c r="W2">
        <f t="shared" ref="W2:W33" si="3">RANK(V2,$V$2:$V$238)</f>
        <v>115</v>
      </c>
      <c r="X2" t="str">
        <f>IF(W2=1,1,IF(W2=2,1,IF(W2=3,1,"")))</f>
        <v/>
      </c>
      <c r="Y2" s="241">
        <f>IF(X2=1,1+Y1,Y1)</f>
        <v>0</v>
      </c>
      <c r="Z2" s="241" t="str">
        <f>IF(X2=1,Y2,"")</f>
        <v/>
      </c>
      <c r="AB2" s="241" t="s">
        <v>792</v>
      </c>
    </row>
    <row r="3" spans="1:28" ht="38.25" customHeight="1" x14ac:dyDescent="0.2">
      <c r="A3" s="241" t="str">
        <f t="shared" ref="A3:A66" si="4">Z3</f>
        <v/>
      </c>
      <c r="B3" s="241" t="s">
        <v>620</v>
      </c>
      <c r="D3" s="241">
        <v>0.04</v>
      </c>
      <c r="E3" s="241">
        <f t="shared" ref="E3:E66" si="5">AVERAGE(C3:D3)</f>
        <v>0.04</v>
      </c>
      <c r="G3" s="241">
        <v>112</v>
      </c>
      <c r="H3" s="241">
        <f t="shared" si="0"/>
        <v>112</v>
      </c>
      <c r="J3" s="241">
        <v>52</v>
      </c>
      <c r="K3" s="241">
        <f t="shared" si="1"/>
        <v>52</v>
      </c>
      <c r="L3" s="241">
        <v>0</v>
      </c>
      <c r="M3" s="241">
        <v>-89</v>
      </c>
      <c r="N3" s="130" t="s">
        <v>619</v>
      </c>
      <c r="Q3" s="241">
        <f>IF(H3&lt;60,'Berechnung-WÜ-Material'!$AL$110,IF(AND(H3&gt;=60,H3&lt;80),'Berechnung-WÜ-Material'!$AM$110,IF(AND('Daten-Materialien'!H3&gt;=80,'Daten-Materialien'!H3&lt;100),'Berechnung-WÜ-Material'!$AN$110,IF(AND(H3&gt;=100,H3&lt;120),'Berechnung-WÜ-Material'!$AO$110,IF(AND('Daten-Materialien'!H3&gt;=120,'Daten-Materialien'!H3&lt;140),'Berechnung-WÜ-Material'!$AP$110,IF('Daten-Materialien'!H3&gt;140,'Berechnung-WÜ-Material'!$AQ$110,"FEHLER"))))))</f>
        <v>3.4064092551223228</v>
      </c>
      <c r="R3" s="241">
        <f>IF(E3&lt;0.1,'Berechnung-WÜ-Material'!$AS$110,IF(AND(E3&gt;=0.1,E3&lt;0.3),'Berechnung-WÜ-Material'!$AT$110,IF(AND('Daten-Materialien'!E3&gt;=0.3,'Daten-Materialien'!E3&lt;0.6),'Berechnung-WÜ-Material'!$AU$110,IF(AND(E3&gt;=0.6,E3&lt;1),'Berechnung-WÜ-Material'!$AV$110,IF(AND('Daten-Materialien'!E3&gt;=1,'Daten-Materialien'!E3&lt;1.5),'Berechnung-WÜ-Material'!$AW$110,IF('Daten-Materialien'!E3&gt;1.5,'Berechnung-WÜ-Material'!$AX$110,"FEHLER"))))))</f>
        <v>5.4090960472347849</v>
      </c>
      <c r="S3" s="241">
        <f>IF(K3&lt;15,'Berechnung-WÜ-Material'!$AZ$110,IF(AND(K3&gt;=15,K3&lt;30),'Berechnung-WÜ-Material'!$BA$110,IF(AND('Daten-Materialien'!K3&gt;=30,'Daten-Materialien'!K3&lt;45),'Berechnung-WÜ-Material'!$BB$110,IF(AND(K3&gt;=45,K3&lt;60),'Berechnung-WÜ-Material'!$BC$110,IF(AND('Daten-Materialien'!K3&gt;=60,'Daten-Materialien'!K3&lt;75),'Berechnung-WÜ-Material'!$BD$110,IF('Daten-Materialien'!K3&gt;75,'Berechnung-WÜ-Material'!$BE$110,"FEHLER"))))))</f>
        <v>2.6681383364247617</v>
      </c>
      <c r="T3" s="241">
        <f>SUM(Q3:S3)+(L3*3*'Berechnung-WÜ-Material'!$G$22)</f>
        <v>11.483643638781871</v>
      </c>
      <c r="U3" s="241">
        <f t="shared" si="2"/>
        <v>31.420902369261455</v>
      </c>
      <c r="V3" s="241">
        <f>100/'Berechnung-WÜ-Material'!$BF$112*'Daten-Materialien'!T3</f>
        <v>56.05456491272998</v>
      </c>
      <c r="W3" s="241">
        <f t="shared" si="3"/>
        <v>202</v>
      </c>
      <c r="X3" s="241" t="str">
        <f t="shared" ref="X3:X66" si="6">IF(W3=1,1,IF(W3=2,1,IF(W3=3,1,"")))</f>
        <v/>
      </c>
      <c r="Y3" s="241">
        <f t="shared" ref="Y3:Y66" si="7">IF(X3=1,1+Y2,Y2)</f>
        <v>0</v>
      </c>
      <c r="Z3" s="241" t="str">
        <f t="shared" ref="Z3:Z66" si="8">IF(X3=1,Y3,"")</f>
        <v/>
      </c>
      <c r="AB3" s="241" t="s">
        <v>793</v>
      </c>
    </row>
    <row r="4" spans="1:28" ht="38.25" customHeight="1" x14ac:dyDescent="0.2">
      <c r="A4" s="241" t="str">
        <f t="shared" si="4"/>
        <v/>
      </c>
      <c r="B4" s="241" t="s">
        <v>621</v>
      </c>
      <c r="D4" s="241">
        <v>0.02</v>
      </c>
      <c r="E4" s="241">
        <f t="shared" si="5"/>
        <v>0.02</v>
      </c>
      <c r="G4" s="241">
        <v>104</v>
      </c>
      <c r="H4" s="241">
        <f t="shared" si="0"/>
        <v>104</v>
      </c>
      <c r="J4" s="241">
        <v>69</v>
      </c>
      <c r="K4" s="241">
        <f t="shared" si="1"/>
        <v>69</v>
      </c>
      <c r="L4" s="241">
        <v>0</v>
      </c>
      <c r="M4" s="241">
        <v>-10</v>
      </c>
      <c r="N4" s="130" t="s">
        <v>619</v>
      </c>
      <c r="Q4" s="241">
        <f>IF(H4&lt;60,'Berechnung-WÜ-Material'!$AL$110,IF(AND(H4&gt;=60,H4&lt;80),'Berechnung-WÜ-Material'!$AM$110,IF(AND('Daten-Materialien'!H4&gt;=80,'Daten-Materialien'!H4&lt;100),'Berechnung-WÜ-Material'!$AN$110,IF(AND(H4&gt;=100,H4&lt;120),'Berechnung-WÜ-Material'!$AO$110,IF(AND('Daten-Materialien'!H4&gt;=120,'Daten-Materialien'!H4&lt;140),'Berechnung-WÜ-Material'!$AP$110,IF('Daten-Materialien'!H4&gt;140,'Berechnung-WÜ-Material'!$AQ$110,"FEHLER"))))))</f>
        <v>3.4064092551223228</v>
      </c>
      <c r="R4" s="241">
        <f>IF(E4&lt;0.1,'Berechnung-WÜ-Material'!$AS$110,IF(AND(E4&gt;=0.1,E4&lt;0.3),'Berechnung-WÜ-Material'!$AT$110,IF(AND('Daten-Materialien'!E4&gt;=0.3,'Daten-Materialien'!E4&lt;0.6),'Berechnung-WÜ-Material'!$AU$110,IF(AND(E4&gt;=0.6,E4&lt;1),'Berechnung-WÜ-Material'!$AV$110,IF(AND('Daten-Materialien'!E4&gt;=1,'Daten-Materialien'!E4&lt;1.5),'Berechnung-WÜ-Material'!$AW$110,IF('Daten-Materialien'!E4&gt;1.5,'Berechnung-WÜ-Material'!$AX$110,"FEHLER"))))))</f>
        <v>5.4090960472347849</v>
      </c>
      <c r="S4" s="241">
        <f>IF(K4&lt;15,'Berechnung-WÜ-Material'!$AZ$110,IF(AND(K4&gt;=15,K4&lt;30),'Berechnung-WÜ-Material'!$BA$110,IF(AND('Daten-Materialien'!K4&gt;=30,'Daten-Materialien'!K4&lt;45),'Berechnung-WÜ-Material'!$BB$110,IF(AND(K4&gt;=45,K4&lt;60),'Berechnung-WÜ-Material'!$BC$110,IF(AND('Daten-Materialien'!K4&gt;=60,'Daten-Materialien'!K4&lt;75),'Berechnung-WÜ-Material'!$BD$110,IF('Daten-Materialien'!K4&gt;75,'Berechnung-WÜ-Material'!$BE$110,"FEHLER"))))))</f>
        <v>6.2037273307754397</v>
      </c>
      <c r="T4" s="241">
        <f>SUM(Q4:S4)+(L4*3*'Berechnung-WÜ-Material'!$G$22)</f>
        <v>15.019232633132548</v>
      </c>
      <c r="U4" s="241">
        <f t="shared" si="2"/>
        <v>44.515676423459688</v>
      </c>
      <c r="V4" s="241">
        <f>100/'Berechnung-WÜ-Material'!$BF$112*'Daten-Materialien'!T4</f>
        <v>73.312667743373581</v>
      </c>
      <c r="W4" s="241">
        <f t="shared" si="3"/>
        <v>92</v>
      </c>
      <c r="X4" s="241" t="str">
        <f t="shared" si="6"/>
        <v/>
      </c>
      <c r="Y4" s="241">
        <f t="shared" si="7"/>
        <v>0</v>
      </c>
      <c r="Z4" s="241" t="str">
        <f t="shared" si="8"/>
        <v/>
      </c>
      <c r="AB4" s="241" t="s">
        <v>752</v>
      </c>
    </row>
    <row r="5" spans="1:28" ht="63.75" customHeight="1" x14ac:dyDescent="0.2">
      <c r="A5" s="241" t="str">
        <f t="shared" si="4"/>
        <v/>
      </c>
      <c r="B5" s="241" t="s">
        <v>810</v>
      </c>
      <c r="D5" s="241">
        <v>0.74</v>
      </c>
      <c r="E5" s="241">
        <f t="shared" si="5"/>
        <v>0.74</v>
      </c>
      <c r="G5" s="241">
        <v>81</v>
      </c>
      <c r="H5" s="241">
        <f t="shared" si="0"/>
        <v>81</v>
      </c>
      <c r="J5" s="241">
        <v>27</v>
      </c>
      <c r="K5" s="241">
        <f t="shared" si="1"/>
        <v>27</v>
      </c>
      <c r="L5" s="241">
        <v>0</v>
      </c>
      <c r="M5" s="241">
        <v>-2</v>
      </c>
      <c r="N5" s="130" t="s">
        <v>622</v>
      </c>
      <c r="O5" s="130"/>
      <c r="P5" s="130"/>
      <c r="Q5" s="241">
        <f>IF(H5&lt;60,'Berechnung-WÜ-Material'!$AL$110,IF(AND(H5&gt;=60,H5&lt;80),'Berechnung-WÜ-Material'!$AM$110,IF(AND('Daten-Materialien'!H5&gt;=80,'Daten-Materialien'!H5&lt;100),'Berechnung-WÜ-Material'!$AN$110,IF(AND(H5&gt;=100,H5&lt;120),'Berechnung-WÜ-Material'!$AO$110,IF(AND('Daten-Materialien'!H5&gt;=120,'Daten-Materialien'!H5&lt;140),'Berechnung-WÜ-Material'!$AP$110,IF('Daten-Materialien'!H5&gt;140,'Berechnung-WÜ-Material'!$AQ$110,"FEHLER"))))))</f>
        <v>2.9517194566014666</v>
      </c>
      <c r="R5" s="241">
        <f>IF(E5&lt;0.1,'Berechnung-WÜ-Material'!$AS$110,IF(AND(E5&gt;=0.1,E5&lt;0.3),'Berechnung-WÜ-Material'!$AT$110,IF(AND('Daten-Materialien'!E5&gt;=0.3,'Daten-Materialien'!E5&lt;0.6),'Berechnung-WÜ-Material'!$AU$110,IF(AND(E5&gt;=0.6,E5&lt;1),'Berechnung-WÜ-Material'!$AV$110,IF(AND('Daten-Materialien'!E5&gt;=1,'Daten-Materialien'!E5&lt;1.5),'Berechnung-WÜ-Material'!$AW$110,IF('Daten-Materialien'!E5&gt;1.5,'Berechnung-WÜ-Material'!$AX$110,"FEHLER"))))))</f>
        <v>7.3404134064714102</v>
      </c>
      <c r="S5" s="241">
        <f>IF(K5&lt;15,'Berechnung-WÜ-Material'!$AZ$110,IF(AND(K5&gt;=15,K5&lt;30),'Berechnung-WÜ-Material'!$BA$110,IF(AND('Daten-Materialien'!K5&gt;=30,'Daten-Materialien'!K5&lt;45),'Berechnung-WÜ-Material'!$BB$110,IF(AND(K5&gt;=45,K5&lt;60),'Berechnung-WÜ-Material'!$BC$110,IF(AND('Daten-Materialien'!K5&gt;=60,'Daten-Materialien'!K5&lt;75),'Berechnung-WÜ-Material'!$BD$110,IF('Daten-Materialien'!K5&gt;75,'Berechnung-WÜ-Material'!$BE$110,"FEHLER"))))))</f>
        <v>5.3164008462907759</v>
      </c>
      <c r="T5" s="241">
        <f>SUM(Q5:S5)+(L5*3*'Berechnung-WÜ-Material'!$G$22)</f>
        <v>15.608533709363652</v>
      </c>
      <c r="U5" s="241">
        <f t="shared" si="2"/>
        <v>46.698273002268017</v>
      </c>
      <c r="V5" s="241">
        <f>100/'Berechnung-WÜ-Material'!$BF$112*'Daten-Materialien'!T5</f>
        <v>76.189195130481011</v>
      </c>
      <c r="W5" s="241">
        <f t="shared" si="3"/>
        <v>77</v>
      </c>
      <c r="X5" s="241" t="str">
        <f t="shared" si="6"/>
        <v/>
      </c>
      <c r="Y5" s="241">
        <f t="shared" si="7"/>
        <v>0</v>
      </c>
      <c r="Z5" s="241" t="str">
        <f t="shared" si="8"/>
        <v/>
      </c>
      <c r="AB5" s="241" t="s">
        <v>794</v>
      </c>
    </row>
    <row r="6" spans="1:28" ht="51.75" x14ac:dyDescent="0.25">
      <c r="A6" s="241" t="str">
        <f t="shared" si="4"/>
        <v/>
      </c>
      <c r="B6" s="241" t="s">
        <v>809</v>
      </c>
      <c r="D6" s="337">
        <v>0.74</v>
      </c>
      <c r="E6" s="241">
        <f t="shared" si="5"/>
        <v>0.74</v>
      </c>
      <c r="G6" s="241">
        <v>119</v>
      </c>
      <c r="H6" s="241">
        <f t="shared" si="0"/>
        <v>119</v>
      </c>
      <c r="J6" s="241">
        <v>5</v>
      </c>
      <c r="K6" s="241">
        <f t="shared" si="1"/>
        <v>5</v>
      </c>
      <c r="L6" s="241">
        <v>0</v>
      </c>
      <c r="M6" s="241">
        <v>-43</v>
      </c>
      <c r="N6" s="130" t="s">
        <v>623</v>
      </c>
      <c r="O6" s="130"/>
      <c r="P6" s="130"/>
      <c r="Q6" s="241">
        <f>IF(H6&lt;60,'Berechnung-WÜ-Material'!$AL$110,IF(AND(H6&gt;=60,H6&lt;80),'Berechnung-WÜ-Material'!$AM$110,IF(AND('Daten-Materialien'!H6&gt;=80,'Daten-Materialien'!H6&lt;100),'Berechnung-WÜ-Material'!$AN$110,IF(AND(H6&gt;=100,H6&lt;120),'Berechnung-WÜ-Material'!$AO$110,IF(AND('Daten-Materialien'!H6&gt;=120,'Daten-Materialien'!H6&lt;140),'Berechnung-WÜ-Material'!$AP$110,IF('Daten-Materialien'!H6&gt;140,'Berechnung-WÜ-Material'!$AQ$110,"FEHLER"))))))</f>
        <v>3.4064092551223228</v>
      </c>
      <c r="R6" s="241">
        <f>IF(E6&lt;0.1,'Berechnung-WÜ-Material'!$AS$110,IF(AND(E6&gt;=0.1,E6&lt;0.3),'Berechnung-WÜ-Material'!$AT$110,IF(AND('Daten-Materialien'!E6&gt;=0.3,'Daten-Materialien'!E6&lt;0.6),'Berechnung-WÜ-Material'!$AU$110,IF(AND(E6&gt;=0.6,E6&lt;1),'Berechnung-WÜ-Material'!$AV$110,IF(AND('Daten-Materialien'!E6&gt;=1,'Daten-Materialien'!E6&lt;1.5),'Berechnung-WÜ-Material'!$AW$110,IF('Daten-Materialien'!E6&gt;1.5,'Berechnung-WÜ-Material'!$AX$110,"FEHLER"))))))</f>
        <v>7.3404134064714102</v>
      </c>
      <c r="S6" s="241">
        <f>IF(K6&lt;15,'Berechnung-WÜ-Material'!$AZ$110,IF(AND(K6&gt;=15,K6&lt;30),'Berechnung-WÜ-Material'!$BA$110,IF(AND('Daten-Materialien'!K6&gt;=30,'Daten-Materialien'!K6&lt;45),'Berechnung-WÜ-Material'!$BB$110,IF(AND(K6&gt;=45,K6&lt;60),'Berechnung-WÜ-Material'!$BC$110,IF(AND('Daten-Materialien'!K6&gt;=60,'Daten-Materialien'!K6&lt;75),'Berechnung-WÜ-Material'!$BD$110,IF('Daten-Materialien'!K6&gt;75,'Berechnung-WÜ-Material'!$BE$110,"FEHLER"))))))</f>
        <v>3.4607748084549512</v>
      </c>
      <c r="T6" s="241">
        <f>SUM(Q6:S6)+(L6*3*'Berechnung-WÜ-Material'!$G$22)</f>
        <v>14.207597470048684</v>
      </c>
      <c r="U6" s="241">
        <f t="shared" si="2"/>
        <v>41.509620263649339</v>
      </c>
      <c r="V6" s="241">
        <f>100/'Berechnung-WÜ-Material'!$BF$112*'Daten-Materialien'!T6</f>
        <v>69.350871525586683</v>
      </c>
      <c r="W6" s="241">
        <f t="shared" si="3"/>
        <v>125</v>
      </c>
      <c r="X6" s="241" t="str">
        <f t="shared" si="6"/>
        <v/>
      </c>
      <c r="Y6" s="241">
        <f t="shared" si="7"/>
        <v>0</v>
      </c>
      <c r="Z6" s="241" t="str">
        <f t="shared" si="8"/>
        <v/>
      </c>
      <c r="AB6" s="241" t="s">
        <v>753</v>
      </c>
    </row>
    <row r="7" spans="1:28" ht="51" customHeight="1" x14ac:dyDescent="0.2">
      <c r="A7" s="241" t="str">
        <f t="shared" si="4"/>
        <v/>
      </c>
      <c r="B7" s="241" t="s">
        <v>624</v>
      </c>
      <c r="D7" s="241">
        <v>0.03</v>
      </c>
      <c r="E7" s="241">
        <f t="shared" si="5"/>
        <v>0.03</v>
      </c>
      <c r="G7" s="241">
        <v>112</v>
      </c>
      <c r="H7" s="241">
        <f t="shared" si="0"/>
        <v>112</v>
      </c>
      <c r="J7" s="241">
        <v>18</v>
      </c>
      <c r="K7" s="241">
        <f t="shared" si="1"/>
        <v>18</v>
      </c>
      <c r="L7" s="241">
        <v>0</v>
      </c>
      <c r="M7" s="241">
        <v>-92</v>
      </c>
      <c r="N7" s="130" t="s">
        <v>625</v>
      </c>
      <c r="O7" s="130"/>
      <c r="P7" s="130"/>
      <c r="Q7" s="241">
        <f>IF(H7&lt;60,'Berechnung-WÜ-Material'!$AL$110,IF(AND(H7&gt;=60,H7&lt;80),'Berechnung-WÜ-Material'!$AM$110,IF(AND('Daten-Materialien'!H7&gt;=80,'Daten-Materialien'!H7&lt;100),'Berechnung-WÜ-Material'!$AN$110,IF(AND(H7&gt;=100,H7&lt;120),'Berechnung-WÜ-Material'!$AO$110,IF(AND('Daten-Materialien'!H7&gt;=120,'Daten-Materialien'!H7&lt;140),'Berechnung-WÜ-Material'!$AP$110,IF('Daten-Materialien'!H7&gt;140,'Berechnung-WÜ-Material'!$AQ$110,"FEHLER"))))))</f>
        <v>3.4064092551223228</v>
      </c>
      <c r="R7" s="241">
        <f>IF(E7&lt;0.1,'Berechnung-WÜ-Material'!$AS$110,IF(AND(E7&gt;=0.1,E7&lt;0.3),'Berechnung-WÜ-Material'!$AT$110,IF(AND('Daten-Materialien'!E7&gt;=0.3,'Daten-Materialien'!E7&lt;0.6),'Berechnung-WÜ-Material'!$AU$110,IF(AND(E7&gt;=0.6,E7&lt;1),'Berechnung-WÜ-Material'!$AV$110,IF(AND('Daten-Materialien'!E7&gt;=1,'Daten-Materialien'!E7&lt;1.5),'Berechnung-WÜ-Material'!$AW$110,IF('Daten-Materialien'!E7&gt;1.5,'Berechnung-WÜ-Material'!$AX$110,"FEHLER"))))))</f>
        <v>5.4090960472347849</v>
      </c>
      <c r="S7" s="241">
        <f>IF(K7&lt;15,'Berechnung-WÜ-Material'!$AZ$110,IF(AND(K7&gt;=15,K7&lt;30),'Berechnung-WÜ-Material'!$BA$110,IF(AND('Daten-Materialien'!K7&gt;=30,'Daten-Materialien'!K7&lt;45),'Berechnung-WÜ-Material'!$BB$110,IF(AND(K7&gt;=45,K7&lt;60),'Berechnung-WÜ-Material'!$BC$110,IF(AND('Daten-Materialien'!K7&gt;=60,'Daten-Materialien'!K7&lt;75),'Berechnung-WÜ-Material'!$BD$110,IF('Daten-Materialien'!K7&gt;75,'Berechnung-WÜ-Material'!$BE$110,"FEHLER"))))))</f>
        <v>5.3164008462907759</v>
      </c>
      <c r="T7" s="241">
        <f>SUM(Q7:S7)+(L7*3*'Berechnung-WÜ-Material'!$G$22)</f>
        <v>14.131906148647884</v>
      </c>
      <c r="U7" s="241">
        <f t="shared" si="2"/>
        <v>41.229282036216546</v>
      </c>
      <c r="V7" s="241">
        <f>100/'Berechnung-WÜ-Material'!$BF$112*'Daten-Materialien'!T7</f>
        <v>68.981403069210799</v>
      </c>
      <c r="W7" s="241">
        <f t="shared" si="3"/>
        <v>131</v>
      </c>
      <c r="X7" s="241" t="str">
        <f t="shared" si="6"/>
        <v/>
      </c>
      <c r="Y7" s="241">
        <f t="shared" si="7"/>
        <v>0</v>
      </c>
      <c r="Z7" s="241" t="str">
        <f t="shared" si="8"/>
        <v/>
      </c>
      <c r="AB7" s="241" t="s">
        <v>750</v>
      </c>
    </row>
    <row r="8" spans="1:28" ht="51.75" x14ac:dyDescent="0.25">
      <c r="A8" s="241" t="str">
        <f t="shared" si="4"/>
        <v/>
      </c>
      <c r="B8" s="241" t="s">
        <v>626</v>
      </c>
      <c r="D8" s="337">
        <v>0.2</v>
      </c>
      <c r="E8" s="241">
        <f t="shared" si="5"/>
        <v>0.2</v>
      </c>
      <c r="G8" s="241">
        <v>141</v>
      </c>
      <c r="H8" s="241">
        <f t="shared" si="0"/>
        <v>141</v>
      </c>
      <c r="J8" s="241">
        <v>1</v>
      </c>
      <c r="K8" s="241">
        <f t="shared" si="1"/>
        <v>1</v>
      </c>
      <c r="L8" s="241">
        <v>0</v>
      </c>
      <c r="M8" s="241">
        <v>-70</v>
      </c>
      <c r="N8" s="130" t="s">
        <v>623</v>
      </c>
      <c r="O8" s="130"/>
      <c r="P8" s="130"/>
      <c r="Q8" s="241">
        <f>IF(H8&lt;60,'Berechnung-WÜ-Material'!$AL$110,IF(AND(H8&gt;=60,H8&lt;80),'Berechnung-WÜ-Material'!$AM$110,IF(AND('Daten-Materialien'!H8&gt;=80,'Daten-Materialien'!H8&lt;100),'Berechnung-WÜ-Material'!$AN$110,IF(AND(H8&gt;=100,H8&lt;120),'Berechnung-WÜ-Material'!$AO$110,IF(AND('Daten-Materialien'!H8&gt;=120,'Daten-Materialien'!H8&lt;140),'Berechnung-WÜ-Material'!$AP$110,IF('Daten-Materialien'!H8&gt;140,'Berechnung-WÜ-Material'!$AQ$110,"FEHLER"))))))</f>
        <v>5.3131194485671944</v>
      </c>
      <c r="R8" s="241">
        <f>IF(E8&lt;0.1,'Berechnung-WÜ-Material'!$AS$110,IF(AND(E8&gt;=0.1,E8&lt;0.3),'Berechnung-WÜ-Material'!$AT$110,IF(AND('Daten-Materialien'!E8&gt;=0.3,'Daten-Materialien'!E8&lt;0.6),'Berechnung-WÜ-Material'!$AU$110,IF(AND(E8&gt;=0.6,E8&lt;1),'Berechnung-WÜ-Material'!$AV$110,IF(AND('Daten-Materialien'!E8&gt;=1,'Daten-Materialien'!E8&lt;1.5),'Berechnung-WÜ-Material'!$AW$110,IF('Daten-Materialien'!E8&gt;1.5,'Berechnung-WÜ-Material'!$AX$110,"FEHLER"))))))</f>
        <v>8.1415883793382715</v>
      </c>
      <c r="S8" s="241">
        <f>IF(K8&lt;15,'Berechnung-WÜ-Material'!$AZ$110,IF(AND(K8&gt;=15,K8&lt;30),'Berechnung-WÜ-Material'!$BA$110,IF(AND('Daten-Materialien'!K8&gt;=30,'Daten-Materialien'!K8&lt;45),'Berechnung-WÜ-Material'!$BB$110,IF(AND(K8&gt;=45,K8&lt;60),'Berechnung-WÜ-Material'!$BC$110,IF(AND('Daten-Materialien'!K8&gt;=60,'Daten-Materialien'!K8&lt;75),'Berechnung-WÜ-Material'!$BD$110,IF('Daten-Materialien'!K8&gt;75,'Berechnung-WÜ-Material'!$BE$110,"FEHLER"))))))</f>
        <v>3.4607748084549512</v>
      </c>
      <c r="T8" s="241">
        <f>SUM(Q8:S8)+(L8*3*'Berechnung-WÜ-Material'!$G$22)</f>
        <v>16.915482636360416</v>
      </c>
      <c r="U8" s="241">
        <f t="shared" si="2"/>
        <v>51.538824584124754</v>
      </c>
      <c r="V8" s="241">
        <f>100/'Berechnung-WÜ-Material'!$BF$112*'Daten-Materialien'!T8</f>
        <v>82.56874292649168</v>
      </c>
      <c r="W8" s="241">
        <f t="shared" si="3"/>
        <v>22</v>
      </c>
      <c r="X8" s="241" t="str">
        <f t="shared" si="6"/>
        <v/>
      </c>
      <c r="Y8" s="241">
        <f t="shared" si="7"/>
        <v>0</v>
      </c>
      <c r="Z8" s="241" t="str">
        <f t="shared" si="8"/>
        <v/>
      </c>
      <c r="AB8" s="241" t="s">
        <v>729</v>
      </c>
    </row>
    <row r="9" spans="1:28" ht="39" x14ac:dyDescent="0.25">
      <c r="A9" s="241" t="str">
        <f t="shared" si="4"/>
        <v/>
      </c>
      <c r="B9" s="241" t="s">
        <v>808</v>
      </c>
      <c r="D9" s="337">
        <v>0.2</v>
      </c>
      <c r="E9" s="241">
        <f t="shared" si="5"/>
        <v>0.2</v>
      </c>
      <c r="G9" s="241">
        <v>101</v>
      </c>
      <c r="H9" s="241">
        <f t="shared" si="0"/>
        <v>101</v>
      </c>
      <c r="J9" s="241">
        <v>13</v>
      </c>
      <c r="K9" s="241">
        <f t="shared" si="1"/>
        <v>13</v>
      </c>
      <c r="L9" s="241">
        <v>0</v>
      </c>
      <c r="M9" s="241">
        <v>-2.7</v>
      </c>
      <c r="N9" s="130" t="s">
        <v>627</v>
      </c>
      <c r="O9" s="130"/>
      <c r="P9" s="130"/>
      <c r="Q9" s="241">
        <f>IF(H9&lt;60,'Berechnung-WÜ-Material'!$AL$110,IF(AND(H9&gt;=60,H9&lt;80),'Berechnung-WÜ-Material'!$AM$110,IF(AND('Daten-Materialien'!H9&gt;=80,'Daten-Materialien'!H9&lt;100),'Berechnung-WÜ-Material'!$AN$110,IF(AND(H9&gt;=100,H9&lt;120),'Berechnung-WÜ-Material'!$AO$110,IF(AND('Daten-Materialien'!H9&gt;=120,'Daten-Materialien'!H9&lt;140),'Berechnung-WÜ-Material'!$AP$110,IF('Daten-Materialien'!H9&gt;140,'Berechnung-WÜ-Material'!$AQ$110,"FEHLER"))))))</f>
        <v>3.4064092551223228</v>
      </c>
      <c r="R9" s="241">
        <f>IF(E9&lt;0.1,'Berechnung-WÜ-Material'!$AS$110,IF(AND(E9&gt;=0.1,E9&lt;0.3),'Berechnung-WÜ-Material'!$AT$110,IF(AND('Daten-Materialien'!E9&gt;=0.3,'Daten-Materialien'!E9&lt;0.6),'Berechnung-WÜ-Material'!$AU$110,IF(AND(E9&gt;=0.6,E9&lt;1),'Berechnung-WÜ-Material'!$AV$110,IF(AND('Daten-Materialien'!E9&gt;=1,'Daten-Materialien'!E9&lt;1.5),'Berechnung-WÜ-Material'!$AW$110,IF('Daten-Materialien'!E9&gt;1.5,'Berechnung-WÜ-Material'!$AX$110,"FEHLER"))))))</f>
        <v>8.1415883793382715</v>
      </c>
      <c r="S9" s="241">
        <f>IF(K9&lt;15,'Berechnung-WÜ-Material'!$AZ$110,IF(AND(K9&gt;=15,K9&lt;30),'Berechnung-WÜ-Material'!$BA$110,IF(AND('Daten-Materialien'!K9&gt;=30,'Daten-Materialien'!K9&lt;45),'Berechnung-WÜ-Material'!$BB$110,IF(AND(K9&gt;=45,K9&lt;60),'Berechnung-WÜ-Material'!$BC$110,IF(AND('Daten-Materialien'!K9&gt;=60,'Daten-Materialien'!K9&lt;75),'Berechnung-WÜ-Material'!$BD$110,IF('Daten-Materialien'!K9&gt;75,'Berechnung-WÜ-Material'!$BE$110,"FEHLER"))))))</f>
        <v>3.4607748084549512</v>
      </c>
      <c r="T9" s="241">
        <f>SUM(Q9:S9)+(L9*3*'Berechnung-WÜ-Material'!$G$22)</f>
        <v>15.008772442915546</v>
      </c>
      <c r="U9" s="241">
        <f t="shared" si="2"/>
        <v>44.47693497820844</v>
      </c>
      <c r="V9" s="241">
        <f>100/'Berechnung-WÜ-Material'!$BF$112*'Daten-Materialien'!T9</f>
        <v>73.261608913096211</v>
      </c>
      <c r="W9" s="241">
        <f t="shared" si="3"/>
        <v>95</v>
      </c>
      <c r="X9" s="241" t="str">
        <f t="shared" si="6"/>
        <v/>
      </c>
      <c r="Y9" s="241">
        <f t="shared" si="7"/>
        <v>0</v>
      </c>
      <c r="Z9" s="241" t="str">
        <f t="shared" si="8"/>
        <v/>
      </c>
      <c r="AB9" s="241" t="s">
        <v>727</v>
      </c>
    </row>
    <row r="10" spans="1:28" ht="51" customHeight="1" x14ac:dyDescent="0.2">
      <c r="A10" s="241" t="str">
        <f t="shared" si="4"/>
        <v/>
      </c>
      <c r="B10" s="241" t="s">
        <v>811</v>
      </c>
      <c r="D10" s="241">
        <v>0.2</v>
      </c>
      <c r="E10" s="241">
        <f t="shared" si="5"/>
        <v>0.2</v>
      </c>
      <c r="G10" s="241">
        <v>72</v>
      </c>
      <c r="H10" s="241">
        <f t="shared" si="0"/>
        <v>72</v>
      </c>
      <c r="J10" s="241">
        <v>30</v>
      </c>
      <c r="K10" s="241">
        <f t="shared" si="1"/>
        <v>30</v>
      </c>
      <c r="L10" s="241">
        <v>0</v>
      </c>
      <c r="M10" s="241">
        <f>-(2-0.025)/2*100</f>
        <v>-98.75</v>
      </c>
      <c r="N10" s="130" t="s">
        <v>628</v>
      </c>
      <c r="O10" s="130"/>
      <c r="P10" s="130"/>
      <c r="Q10" s="241">
        <f>IF(H10&lt;60,'Berechnung-WÜ-Material'!$AL$110,IF(AND(H10&gt;=60,H10&lt;80),'Berechnung-WÜ-Material'!$AM$110,IF(AND('Daten-Materialien'!H10&gt;=80,'Daten-Materialien'!H10&lt;100),'Berechnung-WÜ-Material'!$AN$110,IF(AND(H10&gt;=100,H10&lt;120),'Berechnung-WÜ-Material'!$AO$110,IF(AND('Daten-Materialien'!H10&gt;=120,'Daten-Materialien'!H10&lt;140),'Berechnung-WÜ-Material'!$AP$110,IF('Daten-Materialien'!H10&gt;140,'Berechnung-WÜ-Material'!$AQ$110,"FEHLER"))))))</f>
        <v>1.4830749679207913</v>
      </c>
      <c r="R10" s="241">
        <f>IF(E10&lt;0.1,'Berechnung-WÜ-Material'!$AS$110,IF(AND(E10&gt;=0.1,E10&lt;0.3),'Berechnung-WÜ-Material'!$AT$110,IF(AND('Daten-Materialien'!E10&gt;=0.3,'Daten-Materialien'!E10&lt;0.6),'Berechnung-WÜ-Material'!$AU$110,IF(AND(E10&gt;=0.6,E10&lt;1),'Berechnung-WÜ-Material'!$AV$110,IF(AND('Daten-Materialien'!E10&gt;=1,'Daten-Materialien'!E10&lt;1.5),'Berechnung-WÜ-Material'!$AW$110,IF('Daten-Materialien'!E10&gt;1.5,'Berechnung-WÜ-Material'!$AX$110,"FEHLER"))))))</f>
        <v>8.1415883793382715</v>
      </c>
      <c r="S10" s="241">
        <f>IF(K10&lt;15,'Berechnung-WÜ-Material'!$AZ$110,IF(AND(K10&gt;=15,K10&lt;30),'Berechnung-WÜ-Material'!$BA$110,IF(AND('Daten-Materialien'!K10&gt;=30,'Daten-Materialien'!K10&lt;45),'Berechnung-WÜ-Material'!$BB$110,IF(AND(K10&gt;=45,K10&lt;60),'Berechnung-WÜ-Material'!$BC$110,IF(AND('Daten-Materialien'!K10&gt;=60,'Daten-Materialien'!K10&lt;75),'Berechnung-WÜ-Material'!$BD$110,IF('Daten-Materialien'!K10&gt;75,'Berechnung-WÜ-Material'!$BE$110,"FEHLER"))))))</f>
        <v>5.9436257603083487</v>
      </c>
      <c r="T10" s="241">
        <f>SUM(Q10:S10)+(L10*3*'Berechnung-WÜ-Material'!$G$22)</f>
        <v>15.568289107567411</v>
      </c>
      <c r="U10" s="241">
        <f t="shared" si="2"/>
        <v>46.549218921529274</v>
      </c>
      <c r="V10" s="241">
        <f>100/'Berechnung-WÜ-Material'!$BF$112*'Daten-Materialien'!T10</f>
        <v>75.99275106492712</v>
      </c>
      <c r="W10" s="241">
        <f t="shared" si="3"/>
        <v>80</v>
      </c>
      <c r="X10" s="241" t="str">
        <f t="shared" si="6"/>
        <v/>
      </c>
      <c r="Y10" s="241">
        <f t="shared" si="7"/>
        <v>0</v>
      </c>
      <c r="Z10" s="241" t="str">
        <f t="shared" si="8"/>
        <v/>
      </c>
      <c r="AB10" s="241" t="s">
        <v>730</v>
      </c>
    </row>
    <row r="11" spans="1:28" ht="51" customHeight="1" x14ac:dyDescent="0.2">
      <c r="A11" s="241" t="str">
        <f t="shared" si="4"/>
        <v/>
      </c>
      <c r="B11" s="241" t="s">
        <v>812</v>
      </c>
      <c r="D11" s="241">
        <v>0.2</v>
      </c>
      <c r="E11" s="241">
        <f t="shared" si="5"/>
        <v>0.2</v>
      </c>
      <c r="G11" s="241">
        <v>75</v>
      </c>
      <c r="H11" s="241">
        <f t="shared" si="0"/>
        <v>75</v>
      </c>
      <c r="J11" s="241">
        <v>33</v>
      </c>
      <c r="K11" s="241">
        <f t="shared" si="1"/>
        <v>33</v>
      </c>
      <c r="L11" s="241">
        <v>0</v>
      </c>
      <c r="M11" s="241">
        <f>-(1.75-0.025)/1.75*100</f>
        <v>-98.571428571428584</v>
      </c>
      <c r="N11" s="130" t="s">
        <v>628</v>
      </c>
      <c r="O11" s="130"/>
      <c r="P11" s="130"/>
      <c r="Q11" s="241">
        <f>IF(H11&lt;60,'Berechnung-WÜ-Material'!$AL$110,IF(AND(H11&gt;=60,H11&lt;80),'Berechnung-WÜ-Material'!$AM$110,IF(AND('Daten-Materialien'!H11&gt;=80,'Daten-Materialien'!H11&lt;100),'Berechnung-WÜ-Material'!$AN$110,IF(AND(H11&gt;=100,H11&lt;120),'Berechnung-WÜ-Material'!$AO$110,IF(AND('Daten-Materialien'!H11&gt;=120,'Daten-Materialien'!H11&lt;140),'Berechnung-WÜ-Material'!$AP$110,IF('Daten-Materialien'!H11&gt;140,'Berechnung-WÜ-Material'!$AQ$110,"FEHLER"))))))</f>
        <v>1.4830749679207913</v>
      </c>
      <c r="R11" s="241">
        <f>IF(E11&lt;0.1,'Berechnung-WÜ-Material'!$AS$110,IF(AND(E11&gt;=0.1,E11&lt;0.3),'Berechnung-WÜ-Material'!$AT$110,IF(AND('Daten-Materialien'!E11&gt;=0.3,'Daten-Materialien'!E11&lt;0.6),'Berechnung-WÜ-Material'!$AU$110,IF(AND(E11&gt;=0.6,E11&lt;1),'Berechnung-WÜ-Material'!$AV$110,IF(AND('Daten-Materialien'!E11&gt;=1,'Daten-Materialien'!E11&lt;1.5),'Berechnung-WÜ-Material'!$AW$110,IF('Daten-Materialien'!E11&gt;1.5,'Berechnung-WÜ-Material'!$AX$110,"FEHLER"))))))</f>
        <v>8.1415883793382715</v>
      </c>
      <c r="S11" s="241">
        <f>IF(K11&lt;15,'Berechnung-WÜ-Material'!$AZ$110,IF(AND(K11&gt;=15,K11&lt;30),'Berechnung-WÜ-Material'!$BA$110,IF(AND('Daten-Materialien'!K11&gt;=30,'Daten-Materialien'!K11&lt;45),'Berechnung-WÜ-Material'!$BB$110,IF(AND(K11&gt;=45,K11&lt;60),'Berechnung-WÜ-Material'!$BC$110,IF(AND('Daten-Materialien'!K11&gt;=60,'Daten-Materialien'!K11&lt;75),'Berechnung-WÜ-Material'!$BD$110,IF('Daten-Materialien'!K11&gt;75,'Berechnung-WÜ-Material'!$BE$110,"FEHLER"))))))</f>
        <v>5.9436257603083487</v>
      </c>
      <c r="T11" s="241">
        <f>SUM(Q11:S11)+(L11*3*'Berechnung-WÜ-Material'!$G$22)</f>
        <v>15.568289107567411</v>
      </c>
      <c r="U11" s="241">
        <f t="shared" si="2"/>
        <v>46.549218921529274</v>
      </c>
      <c r="V11" s="241">
        <f>100/'Berechnung-WÜ-Material'!$BF$112*'Daten-Materialien'!T11</f>
        <v>75.99275106492712</v>
      </c>
      <c r="W11" s="241">
        <f t="shared" si="3"/>
        <v>80</v>
      </c>
      <c r="X11" s="241" t="str">
        <f t="shared" si="6"/>
        <v/>
      </c>
      <c r="Y11" s="241">
        <f t="shared" si="7"/>
        <v>0</v>
      </c>
      <c r="Z11" s="241" t="str">
        <f t="shared" si="8"/>
        <v/>
      </c>
      <c r="AB11" s="241" t="s">
        <v>725</v>
      </c>
    </row>
    <row r="12" spans="1:28" ht="51.75" x14ac:dyDescent="0.25">
      <c r="A12" s="241" t="str">
        <f t="shared" si="4"/>
        <v/>
      </c>
      <c r="B12" s="241" t="s">
        <v>813</v>
      </c>
      <c r="D12" s="337">
        <v>0.2</v>
      </c>
      <c r="E12" s="241">
        <f t="shared" si="5"/>
        <v>0.2</v>
      </c>
      <c r="G12" s="241">
        <v>114</v>
      </c>
      <c r="H12" s="241">
        <f t="shared" si="0"/>
        <v>114</v>
      </c>
      <c r="J12" s="241">
        <v>25</v>
      </c>
      <c r="K12" s="241">
        <f t="shared" si="1"/>
        <v>25</v>
      </c>
      <c r="L12" s="241">
        <v>0</v>
      </c>
      <c r="M12" s="241">
        <v>-35</v>
      </c>
      <c r="N12" s="130" t="s">
        <v>629</v>
      </c>
      <c r="O12" s="130"/>
      <c r="P12" s="130"/>
      <c r="Q12" s="241">
        <f>IF(H12&lt;60,'Berechnung-WÜ-Material'!$AL$110,IF(AND(H12&gt;=60,H12&lt;80),'Berechnung-WÜ-Material'!$AM$110,IF(AND('Daten-Materialien'!H12&gt;=80,'Daten-Materialien'!H12&lt;100),'Berechnung-WÜ-Material'!$AN$110,IF(AND(H12&gt;=100,H12&lt;120),'Berechnung-WÜ-Material'!$AO$110,IF(AND('Daten-Materialien'!H12&gt;=120,'Daten-Materialien'!H12&lt;140),'Berechnung-WÜ-Material'!$AP$110,IF('Daten-Materialien'!H12&gt;140,'Berechnung-WÜ-Material'!$AQ$110,"FEHLER"))))))</f>
        <v>3.4064092551223228</v>
      </c>
      <c r="R12" s="241">
        <f>IF(E12&lt;0.1,'Berechnung-WÜ-Material'!$AS$110,IF(AND(E12&gt;=0.1,E12&lt;0.3),'Berechnung-WÜ-Material'!$AT$110,IF(AND('Daten-Materialien'!E12&gt;=0.3,'Daten-Materialien'!E12&lt;0.6),'Berechnung-WÜ-Material'!$AU$110,IF(AND(E12&gt;=0.6,E12&lt;1),'Berechnung-WÜ-Material'!$AV$110,IF(AND('Daten-Materialien'!E12&gt;=1,'Daten-Materialien'!E12&lt;1.5),'Berechnung-WÜ-Material'!$AW$110,IF('Daten-Materialien'!E12&gt;1.5,'Berechnung-WÜ-Material'!$AX$110,"FEHLER"))))))</f>
        <v>8.1415883793382715</v>
      </c>
      <c r="S12" s="241">
        <f>IF(K12&lt;15,'Berechnung-WÜ-Material'!$AZ$110,IF(AND(K12&gt;=15,K12&lt;30),'Berechnung-WÜ-Material'!$BA$110,IF(AND('Daten-Materialien'!K12&gt;=30,'Daten-Materialien'!K12&lt;45),'Berechnung-WÜ-Material'!$BB$110,IF(AND(K12&gt;=45,K12&lt;60),'Berechnung-WÜ-Material'!$BC$110,IF(AND('Daten-Materialien'!K12&gt;=60,'Daten-Materialien'!K12&lt;75),'Berechnung-WÜ-Material'!$BD$110,IF('Daten-Materialien'!K12&gt;75,'Berechnung-WÜ-Material'!$BE$110,"FEHLER"))))))</f>
        <v>5.3164008462907759</v>
      </c>
      <c r="T12" s="241">
        <f>SUM(Q12:S12)+(L12*3*'Berechnung-WÜ-Material'!$G$22)</f>
        <v>16.864398480751369</v>
      </c>
      <c r="U12" s="241">
        <f t="shared" si="2"/>
        <v>51.349624007779816</v>
      </c>
      <c r="V12" s="241">
        <f>100/'Berechnung-WÜ-Material'!$BF$112*'Daten-Materialien'!T12</f>
        <v>82.319388261137135</v>
      </c>
      <c r="W12" s="241">
        <f t="shared" si="3"/>
        <v>24</v>
      </c>
      <c r="X12" s="241" t="str">
        <f t="shared" si="6"/>
        <v/>
      </c>
      <c r="Y12" s="241">
        <f t="shared" si="7"/>
        <v>0</v>
      </c>
      <c r="Z12" s="241" t="str">
        <f t="shared" si="8"/>
        <v/>
      </c>
      <c r="AB12" s="241" t="s">
        <v>776</v>
      </c>
    </row>
    <row r="13" spans="1:28" ht="39" x14ac:dyDescent="0.25">
      <c r="A13" s="241" t="str">
        <f t="shared" si="4"/>
        <v/>
      </c>
      <c r="B13" s="241" t="s">
        <v>814</v>
      </c>
      <c r="D13" s="337">
        <v>0.2</v>
      </c>
      <c r="E13" s="241">
        <f t="shared" si="5"/>
        <v>0.2</v>
      </c>
      <c r="G13" s="337">
        <v>95</v>
      </c>
      <c r="H13" s="241">
        <f t="shared" si="0"/>
        <v>95</v>
      </c>
      <c r="J13" s="337">
        <v>24</v>
      </c>
      <c r="K13" s="241">
        <f t="shared" si="1"/>
        <v>24</v>
      </c>
      <c r="L13" s="241">
        <v>0</v>
      </c>
      <c r="M13" s="241">
        <v>-61</v>
      </c>
      <c r="N13" s="130" t="s">
        <v>630</v>
      </c>
      <c r="O13" s="130"/>
      <c r="P13" s="130"/>
      <c r="Q13" s="241">
        <f>IF(H13&lt;60,'Berechnung-WÜ-Material'!$AL$110,IF(AND(H13&gt;=60,H13&lt;80),'Berechnung-WÜ-Material'!$AM$110,IF(AND('Daten-Materialien'!H13&gt;=80,'Daten-Materialien'!H13&lt;100),'Berechnung-WÜ-Material'!$AN$110,IF(AND(H13&gt;=100,H13&lt;120),'Berechnung-WÜ-Material'!$AO$110,IF(AND('Daten-Materialien'!H13&gt;=120,'Daten-Materialien'!H13&lt;140),'Berechnung-WÜ-Material'!$AP$110,IF('Daten-Materialien'!H13&gt;140,'Berechnung-WÜ-Material'!$AQ$110,"FEHLER"))))))</f>
        <v>2.9517194566014666</v>
      </c>
      <c r="R13" s="241">
        <f>IF(E13&lt;0.1,'Berechnung-WÜ-Material'!$AS$110,IF(AND(E13&gt;=0.1,E13&lt;0.3),'Berechnung-WÜ-Material'!$AT$110,IF(AND('Daten-Materialien'!E13&gt;=0.3,'Daten-Materialien'!E13&lt;0.6),'Berechnung-WÜ-Material'!$AU$110,IF(AND(E13&gt;=0.6,E13&lt;1),'Berechnung-WÜ-Material'!$AV$110,IF(AND('Daten-Materialien'!E13&gt;=1,'Daten-Materialien'!E13&lt;1.5),'Berechnung-WÜ-Material'!$AW$110,IF('Daten-Materialien'!E13&gt;1.5,'Berechnung-WÜ-Material'!$AX$110,"FEHLER"))))))</f>
        <v>8.1415883793382715</v>
      </c>
      <c r="S13" s="241">
        <f>IF(K13&lt;15,'Berechnung-WÜ-Material'!$AZ$110,IF(AND(K13&gt;=15,K13&lt;30),'Berechnung-WÜ-Material'!$BA$110,IF(AND('Daten-Materialien'!K13&gt;=30,'Daten-Materialien'!K13&lt;45),'Berechnung-WÜ-Material'!$BB$110,IF(AND(K13&gt;=45,K13&lt;60),'Berechnung-WÜ-Material'!$BC$110,IF(AND('Daten-Materialien'!K13&gt;=60,'Daten-Materialien'!K13&lt;75),'Berechnung-WÜ-Material'!$BD$110,IF('Daten-Materialien'!K13&gt;75,'Berechnung-WÜ-Material'!$BE$110,"FEHLER"))))))</f>
        <v>5.3164008462907759</v>
      </c>
      <c r="T13" s="241">
        <f>SUM(Q13:S13)+(L13*3*'Berechnung-WÜ-Material'!$G$22)</f>
        <v>16.409708682230516</v>
      </c>
      <c r="U13" s="241">
        <f t="shared" si="2"/>
        <v>49.665587716827119</v>
      </c>
      <c r="V13" s="241">
        <f>100/'Berechnung-WÜ-Material'!$BF$112*'Daten-Materialien'!T13</f>
        <v>80.099932517990538</v>
      </c>
      <c r="W13" s="241">
        <f t="shared" si="3"/>
        <v>27</v>
      </c>
      <c r="X13" s="241" t="str">
        <f t="shared" si="6"/>
        <v/>
      </c>
      <c r="Y13" s="241">
        <f t="shared" si="7"/>
        <v>0</v>
      </c>
      <c r="Z13" s="241" t="str">
        <f t="shared" si="8"/>
        <v/>
      </c>
      <c r="AB13" s="241" t="s">
        <v>775</v>
      </c>
    </row>
    <row r="14" spans="1:28" ht="26.25" x14ac:dyDescent="0.25">
      <c r="A14" s="241" t="str">
        <f t="shared" si="4"/>
        <v/>
      </c>
      <c r="B14" s="241" t="s">
        <v>815</v>
      </c>
      <c r="D14" s="241">
        <v>0.2</v>
      </c>
      <c r="E14" s="241">
        <f t="shared" si="5"/>
        <v>0.2</v>
      </c>
      <c r="G14" s="337">
        <v>95</v>
      </c>
      <c r="H14" s="241">
        <f t="shared" si="0"/>
        <v>95</v>
      </c>
      <c r="J14" s="241">
        <v>21</v>
      </c>
      <c r="K14" s="241">
        <f t="shared" si="1"/>
        <v>21</v>
      </c>
      <c r="L14" s="241">
        <v>0</v>
      </c>
      <c r="M14" s="241">
        <f>-(1.43-1.25)/1.43*100</f>
        <v>-12.587412587412583</v>
      </c>
      <c r="N14" s="130" t="s">
        <v>631</v>
      </c>
      <c r="O14" s="130"/>
      <c r="P14" s="130"/>
      <c r="Q14" s="241">
        <f>IF(H14&lt;60,'Berechnung-WÜ-Material'!$AL$110,IF(AND(H14&gt;=60,H14&lt;80),'Berechnung-WÜ-Material'!$AM$110,IF(AND('Daten-Materialien'!H14&gt;=80,'Daten-Materialien'!H14&lt;100),'Berechnung-WÜ-Material'!$AN$110,IF(AND(H14&gt;=100,H14&lt;120),'Berechnung-WÜ-Material'!$AO$110,IF(AND('Daten-Materialien'!H14&gt;=120,'Daten-Materialien'!H14&lt;140),'Berechnung-WÜ-Material'!$AP$110,IF('Daten-Materialien'!H14&gt;140,'Berechnung-WÜ-Material'!$AQ$110,"FEHLER"))))))</f>
        <v>2.9517194566014666</v>
      </c>
      <c r="R14" s="241">
        <f>IF(E14&lt;0.1,'Berechnung-WÜ-Material'!$AS$110,IF(AND(E14&gt;=0.1,E14&lt;0.3),'Berechnung-WÜ-Material'!$AT$110,IF(AND('Daten-Materialien'!E14&gt;=0.3,'Daten-Materialien'!E14&lt;0.6),'Berechnung-WÜ-Material'!$AU$110,IF(AND(E14&gt;=0.6,E14&lt;1),'Berechnung-WÜ-Material'!$AV$110,IF(AND('Daten-Materialien'!E14&gt;=1,'Daten-Materialien'!E14&lt;1.5),'Berechnung-WÜ-Material'!$AW$110,IF('Daten-Materialien'!E14&gt;1.5,'Berechnung-WÜ-Material'!$AX$110,"FEHLER"))))))</f>
        <v>8.1415883793382715</v>
      </c>
      <c r="S14" s="241">
        <f>IF(K14&lt;15,'Berechnung-WÜ-Material'!$AZ$110,IF(AND(K14&gt;=15,K14&lt;30),'Berechnung-WÜ-Material'!$BA$110,IF(AND('Daten-Materialien'!K14&gt;=30,'Daten-Materialien'!K14&lt;45),'Berechnung-WÜ-Material'!$BB$110,IF(AND(K14&gt;=45,K14&lt;60),'Berechnung-WÜ-Material'!$BC$110,IF(AND('Daten-Materialien'!K14&gt;=60,'Daten-Materialien'!K14&lt;75),'Berechnung-WÜ-Material'!$BD$110,IF('Daten-Materialien'!K14&gt;75,'Berechnung-WÜ-Material'!$BE$110,"FEHLER"))))))</f>
        <v>5.3164008462907759</v>
      </c>
      <c r="T14" s="241">
        <f>SUM(Q14:S14)+(L14*3*'Berechnung-WÜ-Material'!$G$22)</f>
        <v>16.409708682230516</v>
      </c>
      <c r="U14" s="241">
        <f t="shared" si="2"/>
        <v>49.665587716827119</v>
      </c>
      <c r="V14" s="241">
        <f>100/'Berechnung-WÜ-Material'!$BF$112*'Daten-Materialien'!T14</f>
        <v>80.099932517990538</v>
      </c>
      <c r="W14" s="241">
        <f t="shared" si="3"/>
        <v>27</v>
      </c>
      <c r="X14" s="241" t="str">
        <f t="shared" si="6"/>
        <v/>
      </c>
      <c r="Y14" s="241">
        <f t="shared" si="7"/>
        <v>0</v>
      </c>
      <c r="Z14" s="241" t="str">
        <f t="shared" si="8"/>
        <v/>
      </c>
      <c r="AB14" s="241" t="s">
        <v>773</v>
      </c>
    </row>
    <row r="15" spans="1:28" ht="39" x14ac:dyDescent="0.25">
      <c r="A15" s="241" t="str">
        <f t="shared" si="4"/>
        <v/>
      </c>
      <c r="B15" s="241" t="s">
        <v>816</v>
      </c>
      <c r="D15" s="337">
        <v>0.2</v>
      </c>
      <c r="E15" s="241">
        <f t="shared" si="5"/>
        <v>0.2</v>
      </c>
      <c r="G15" s="337">
        <v>95</v>
      </c>
      <c r="H15" s="241">
        <f t="shared" si="0"/>
        <v>95</v>
      </c>
      <c r="I15" s="241">
        <v>19</v>
      </c>
      <c r="J15" s="241">
        <v>70</v>
      </c>
      <c r="K15" s="241">
        <f t="shared" si="1"/>
        <v>44.5</v>
      </c>
      <c r="L15" s="241">
        <v>0</v>
      </c>
      <c r="M15" s="241">
        <f>AVERAGE(-82,-87)</f>
        <v>-84.5</v>
      </c>
      <c r="N15" s="130" t="s">
        <v>632</v>
      </c>
      <c r="O15" s="130"/>
      <c r="P15" s="130"/>
      <c r="Q15" s="241">
        <f>IF(H15&lt;60,'Berechnung-WÜ-Material'!$AL$110,IF(AND(H15&gt;=60,H15&lt;80),'Berechnung-WÜ-Material'!$AM$110,IF(AND('Daten-Materialien'!H15&gt;=80,'Daten-Materialien'!H15&lt;100),'Berechnung-WÜ-Material'!$AN$110,IF(AND(H15&gt;=100,H15&lt;120),'Berechnung-WÜ-Material'!$AO$110,IF(AND('Daten-Materialien'!H15&gt;=120,'Daten-Materialien'!H15&lt;140),'Berechnung-WÜ-Material'!$AP$110,IF('Daten-Materialien'!H15&gt;140,'Berechnung-WÜ-Material'!$AQ$110,"FEHLER"))))))</f>
        <v>2.9517194566014666</v>
      </c>
      <c r="R15" s="241">
        <f>IF(E15&lt;0.1,'Berechnung-WÜ-Material'!$AS$110,IF(AND(E15&gt;=0.1,E15&lt;0.3),'Berechnung-WÜ-Material'!$AT$110,IF(AND('Daten-Materialien'!E15&gt;=0.3,'Daten-Materialien'!E15&lt;0.6),'Berechnung-WÜ-Material'!$AU$110,IF(AND(E15&gt;=0.6,E15&lt;1),'Berechnung-WÜ-Material'!$AV$110,IF(AND('Daten-Materialien'!E15&gt;=1,'Daten-Materialien'!E15&lt;1.5),'Berechnung-WÜ-Material'!$AW$110,IF('Daten-Materialien'!E15&gt;1.5,'Berechnung-WÜ-Material'!$AX$110,"FEHLER"))))))</f>
        <v>8.1415883793382715</v>
      </c>
      <c r="S15" s="241">
        <f>IF(K15&lt;15,'Berechnung-WÜ-Material'!$AZ$110,IF(AND(K15&gt;=15,K15&lt;30),'Berechnung-WÜ-Material'!$BA$110,IF(AND('Daten-Materialien'!K15&gt;=30,'Daten-Materialien'!K15&lt;45),'Berechnung-WÜ-Material'!$BB$110,IF(AND(K15&gt;=45,K15&lt;60),'Berechnung-WÜ-Material'!$BC$110,IF(AND('Daten-Materialien'!K15&gt;=60,'Daten-Materialien'!K15&lt;75),'Berechnung-WÜ-Material'!$BD$110,IF('Daten-Materialien'!K15&gt;75,'Berechnung-WÜ-Material'!$BE$110,"FEHLER"))))))</f>
        <v>5.9436257603083487</v>
      </c>
      <c r="T15" s="241">
        <f>SUM(Q15:S15)+(L15*3*'Berechnung-WÜ-Material'!$G$22)</f>
        <v>17.036933596248087</v>
      </c>
      <c r="U15" s="241">
        <f t="shared" si="2"/>
        <v>51.988642954115079</v>
      </c>
      <c r="V15" s="241">
        <f>100/'Berechnung-WÜ-Material'!$BF$112*'Daten-Materialien'!T15</f>
        <v>83.16157573538743</v>
      </c>
      <c r="W15" s="241">
        <f t="shared" si="3"/>
        <v>13</v>
      </c>
      <c r="X15" s="241" t="str">
        <f t="shared" si="6"/>
        <v/>
      </c>
      <c r="Y15" s="241">
        <f t="shared" si="7"/>
        <v>0</v>
      </c>
      <c r="Z15" s="241" t="str">
        <f t="shared" si="8"/>
        <v/>
      </c>
      <c r="AB15" s="241" t="s">
        <v>870</v>
      </c>
    </row>
    <row r="16" spans="1:28" ht="39" x14ac:dyDescent="0.25">
      <c r="A16" s="241" t="str">
        <f t="shared" si="4"/>
        <v/>
      </c>
      <c r="B16" s="241" t="s">
        <v>817</v>
      </c>
      <c r="D16" s="241">
        <v>0.2</v>
      </c>
      <c r="E16" s="241">
        <f t="shared" si="5"/>
        <v>0.2</v>
      </c>
      <c r="G16" s="337">
        <v>95</v>
      </c>
      <c r="H16" s="241">
        <f t="shared" si="0"/>
        <v>95</v>
      </c>
      <c r="J16" s="337">
        <v>24</v>
      </c>
      <c r="K16" s="241">
        <f t="shared" si="1"/>
        <v>24</v>
      </c>
      <c r="L16" s="241">
        <v>0</v>
      </c>
      <c r="M16" s="241">
        <f>-4/5.5*100</f>
        <v>-72.727272727272734</v>
      </c>
      <c r="N16" s="130" t="s">
        <v>633</v>
      </c>
      <c r="O16" s="130"/>
      <c r="P16" s="130"/>
      <c r="Q16" s="241">
        <f>IF(H16&lt;60,'Berechnung-WÜ-Material'!$AL$110,IF(AND(H16&gt;=60,H16&lt;80),'Berechnung-WÜ-Material'!$AM$110,IF(AND('Daten-Materialien'!H16&gt;=80,'Daten-Materialien'!H16&lt;100),'Berechnung-WÜ-Material'!$AN$110,IF(AND(H16&gt;=100,H16&lt;120),'Berechnung-WÜ-Material'!$AO$110,IF(AND('Daten-Materialien'!H16&gt;=120,'Daten-Materialien'!H16&lt;140),'Berechnung-WÜ-Material'!$AP$110,IF('Daten-Materialien'!H16&gt;140,'Berechnung-WÜ-Material'!$AQ$110,"FEHLER"))))))</f>
        <v>2.9517194566014666</v>
      </c>
      <c r="R16" s="241">
        <f>IF(E16&lt;0.1,'Berechnung-WÜ-Material'!$AS$110,IF(AND(E16&gt;=0.1,E16&lt;0.3),'Berechnung-WÜ-Material'!$AT$110,IF(AND('Daten-Materialien'!E16&gt;=0.3,'Daten-Materialien'!E16&lt;0.6),'Berechnung-WÜ-Material'!$AU$110,IF(AND(E16&gt;=0.6,E16&lt;1),'Berechnung-WÜ-Material'!$AV$110,IF(AND('Daten-Materialien'!E16&gt;=1,'Daten-Materialien'!E16&lt;1.5),'Berechnung-WÜ-Material'!$AW$110,IF('Daten-Materialien'!E16&gt;1.5,'Berechnung-WÜ-Material'!$AX$110,"FEHLER"))))))</f>
        <v>8.1415883793382715</v>
      </c>
      <c r="S16" s="241">
        <f>IF(K16&lt;15,'Berechnung-WÜ-Material'!$AZ$110,IF(AND(K16&gt;=15,K16&lt;30),'Berechnung-WÜ-Material'!$BA$110,IF(AND('Daten-Materialien'!K16&gt;=30,'Daten-Materialien'!K16&lt;45),'Berechnung-WÜ-Material'!$BB$110,IF(AND(K16&gt;=45,K16&lt;60),'Berechnung-WÜ-Material'!$BC$110,IF(AND('Daten-Materialien'!K16&gt;=60,'Daten-Materialien'!K16&lt;75),'Berechnung-WÜ-Material'!$BD$110,IF('Daten-Materialien'!K16&gt;75,'Berechnung-WÜ-Material'!$BE$110,"FEHLER"))))))</f>
        <v>5.3164008462907759</v>
      </c>
      <c r="T16" s="241">
        <f>SUM(Q16:S16)+(L16*3*'Berechnung-WÜ-Material'!$G$22)</f>
        <v>16.409708682230516</v>
      </c>
      <c r="U16" s="241">
        <f t="shared" si="2"/>
        <v>49.665587716827119</v>
      </c>
      <c r="V16" s="241">
        <f>100/'Berechnung-WÜ-Material'!$BF$112*'Daten-Materialien'!T16</f>
        <v>80.099932517990538</v>
      </c>
      <c r="W16" s="241">
        <f t="shared" si="3"/>
        <v>27</v>
      </c>
      <c r="X16" s="241" t="str">
        <f t="shared" si="6"/>
        <v/>
      </c>
      <c r="Y16" s="241">
        <f t="shared" si="7"/>
        <v>0</v>
      </c>
      <c r="Z16" s="241" t="str">
        <f t="shared" si="8"/>
        <v/>
      </c>
      <c r="AB16" s="241" t="s">
        <v>872</v>
      </c>
    </row>
    <row r="17" spans="1:28" ht="39" x14ac:dyDescent="0.25">
      <c r="A17" s="241" t="str">
        <f t="shared" si="4"/>
        <v/>
      </c>
      <c r="B17" s="241" t="s">
        <v>818</v>
      </c>
      <c r="D17" s="337">
        <v>0.2</v>
      </c>
      <c r="E17" s="241">
        <f t="shared" si="5"/>
        <v>0.2</v>
      </c>
      <c r="G17" s="337">
        <v>95</v>
      </c>
      <c r="H17" s="241">
        <f t="shared" si="0"/>
        <v>95</v>
      </c>
      <c r="J17" s="337">
        <v>24</v>
      </c>
      <c r="K17" s="241">
        <f t="shared" si="1"/>
        <v>24</v>
      </c>
      <c r="L17" s="241">
        <v>0</v>
      </c>
      <c r="M17" s="241">
        <f>AVERAGE(-85,-95)</f>
        <v>-90</v>
      </c>
      <c r="N17" s="130" t="s">
        <v>634</v>
      </c>
      <c r="O17" s="130"/>
      <c r="P17" s="130"/>
      <c r="Q17" s="241">
        <f>IF(H17&lt;60,'Berechnung-WÜ-Material'!$AL$110,IF(AND(H17&gt;=60,H17&lt;80),'Berechnung-WÜ-Material'!$AM$110,IF(AND('Daten-Materialien'!H17&gt;=80,'Daten-Materialien'!H17&lt;100),'Berechnung-WÜ-Material'!$AN$110,IF(AND(H17&gt;=100,H17&lt;120),'Berechnung-WÜ-Material'!$AO$110,IF(AND('Daten-Materialien'!H17&gt;=120,'Daten-Materialien'!H17&lt;140),'Berechnung-WÜ-Material'!$AP$110,IF('Daten-Materialien'!H17&gt;140,'Berechnung-WÜ-Material'!$AQ$110,"FEHLER"))))))</f>
        <v>2.9517194566014666</v>
      </c>
      <c r="R17" s="241">
        <f>IF(E17&lt;0.1,'Berechnung-WÜ-Material'!$AS$110,IF(AND(E17&gt;=0.1,E17&lt;0.3),'Berechnung-WÜ-Material'!$AT$110,IF(AND('Daten-Materialien'!E17&gt;=0.3,'Daten-Materialien'!E17&lt;0.6),'Berechnung-WÜ-Material'!$AU$110,IF(AND(E17&gt;=0.6,E17&lt;1),'Berechnung-WÜ-Material'!$AV$110,IF(AND('Daten-Materialien'!E17&gt;=1,'Daten-Materialien'!E17&lt;1.5),'Berechnung-WÜ-Material'!$AW$110,IF('Daten-Materialien'!E17&gt;1.5,'Berechnung-WÜ-Material'!$AX$110,"FEHLER"))))))</f>
        <v>8.1415883793382715</v>
      </c>
      <c r="S17" s="241">
        <f>IF(K17&lt;15,'Berechnung-WÜ-Material'!$AZ$110,IF(AND(K17&gt;=15,K17&lt;30),'Berechnung-WÜ-Material'!$BA$110,IF(AND('Daten-Materialien'!K17&gt;=30,'Daten-Materialien'!K17&lt;45),'Berechnung-WÜ-Material'!$BB$110,IF(AND(K17&gt;=45,K17&lt;60),'Berechnung-WÜ-Material'!$BC$110,IF(AND('Daten-Materialien'!K17&gt;=60,'Daten-Materialien'!K17&lt;75),'Berechnung-WÜ-Material'!$BD$110,IF('Daten-Materialien'!K17&gt;75,'Berechnung-WÜ-Material'!$BE$110,"FEHLER"))))))</f>
        <v>5.3164008462907759</v>
      </c>
      <c r="T17" s="241">
        <f>SUM(Q17:S17)+(L17*3*'Berechnung-WÜ-Material'!$G$22)</f>
        <v>16.409708682230516</v>
      </c>
      <c r="U17" s="241">
        <f t="shared" si="2"/>
        <v>49.665587716827119</v>
      </c>
      <c r="V17" s="241">
        <f>100/'Berechnung-WÜ-Material'!$BF$112*'Daten-Materialien'!T17</f>
        <v>80.099932517990538</v>
      </c>
      <c r="W17" s="241">
        <f t="shared" si="3"/>
        <v>27</v>
      </c>
      <c r="X17" s="241" t="str">
        <f t="shared" si="6"/>
        <v/>
      </c>
      <c r="Y17" s="241">
        <f t="shared" si="7"/>
        <v>0</v>
      </c>
      <c r="Z17" s="241" t="str">
        <f t="shared" si="8"/>
        <v/>
      </c>
      <c r="AB17" s="241" t="s">
        <v>770</v>
      </c>
    </row>
    <row r="18" spans="1:28" ht="51.75" x14ac:dyDescent="0.25">
      <c r="A18" s="241" t="str">
        <f t="shared" si="4"/>
        <v/>
      </c>
      <c r="B18" s="241" t="s">
        <v>819</v>
      </c>
      <c r="D18" s="337">
        <v>0.2</v>
      </c>
      <c r="E18" s="241">
        <f t="shared" si="5"/>
        <v>0.2</v>
      </c>
      <c r="G18" s="337">
        <v>95</v>
      </c>
      <c r="H18" s="241">
        <f t="shared" si="0"/>
        <v>95</v>
      </c>
      <c r="J18" s="337">
        <v>24</v>
      </c>
      <c r="K18" s="241">
        <f t="shared" si="1"/>
        <v>24</v>
      </c>
      <c r="L18" s="241">
        <v>0</v>
      </c>
      <c r="M18" s="241">
        <f>88.4-100</f>
        <v>-11.599999999999994</v>
      </c>
      <c r="N18" s="130" t="s">
        <v>635</v>
      </c>
      <c r="O18" s="130"/>
      <c r="P18" s="130"/>
      <c r="Q18" s="241">
        <f>IF(H18&lt;60,'Berechnung-WÜ-Material'!$AL$110,IF(AND(H18&gt;=60,H18&lt;80),'Berechnung-WÜ-Material'!$AM$110,IF(AND('Daten-Materialien'!H18&gt;=80,'Daten-Materialien'!H18&lt;100),'Berechnung-WÜ-Material'!$AN$110,IF(AND(H18&gt;=100,H18&lt;120),'Berechnung-WÜ-Material'!$AO$110,IF(AND('Daten-Materialien'!H18&gt;=120,'Daten-Materialien'!H18&lt;140),'Berechnung-WÜ-Material'!$AP$110,IF('Daten-Materialien'!H18&gt;140,'Berechnung-WÜ-Material'!$AQ$110,"FEHLER"))))))</f>
        <v>2.9517194566014666</v>
      </c>
      <c r="R18" s="241">
        <f>IF(E18&lt;0.1,'Berechnung-WÜ-Material'!$AS$110,IF(AND(E18&gt;=0.1,E18&lt;0.3),'Berechnung-WÜ-Material'!$AT$110,IF(AND('Daten-Materialien'!E18&gt;=0.3,'Daten-Materialien'!E18&lt;0.6),'Berechnung-WÜ-Material'!$AU$110,IF(AND(E18&gt;=0.6,E18&lt;1),'Berechnung-WÜ-Material'!$AV$110,IF(AND('Daten-Materialien'!E18&gt;=1,'Daten-Materialien'!E18&lt;1.5),'Berechnung-WÜ-Material'!$AW$110,IF('Daten-Materialien'!E18&gt;1.5,'Berechnung-WÜ-Material'!$AX$110,"FEHLER"))))))</f>
        <v>8.1415883793382715</v>
      </c>
      <c r="S18" s="241">
        <f>IF(K18&lt;15,'Berechnung-WÜ-Material'!$AZ$110,IF(AND(K18&gt;=15,K18&lt;30),'Berechnung-WÜ-Material'!$BA$110,IF(AND('Daten-Materialien'!K18&gt;=30,'Daten-Materialien'!K18&lt;45),'Berechnung-WÜ-Material'!$BB$110,IF(AND(K18&gt;=45,K18&lt;60),'Berechnung-WÜ-Material'!$BC$110,IF(AND('Daten-Materialien'!K18&gt;=60,'Daten-Materialien'!K18&lt;75),'Berechnung-WÜ-Material'!$BD$110,IF('Daten-Materialien'!K18&gt;75,'Berechnung-WÜ-Material'!$BE$110,"FEHLER"))))))</f>
        <v>5.3164008462907759</v>
      </c>
      <c r="T18" s="241">
        <f>SUM(Q18:S18)+(L18*3*'Berechnung-WÜ-Material'!$G$22)</f>
        <v>16.409708682230516</v>
      </c>
      <c r="U18" s="241">
        <f t="shared" si="2"/>
        <v>49.665587716827119</v>
      </c>
      <c r="V18" s="241">
        <f>100/'Berechnung-WÜ-Material'!$BF$112*'Daten-Materialien'!T18</f>
        <v>80.099932517990538</v>
      </c>
      <c r="W18" s="241">
        <f t="shared" si="3"/>
        <v>27</v>
      </c>
      <c r="X18" s="241" t="str">
        <f t="shared" si="6"/>
        <v/>
      </c>
      <c r="Y18" s="241">
        <f t="shared" si="7"/>
        <v>0</v>
      </c>
      <c r="Z18" s="241" t="str">
        <f t="shared" si="8"/>
        <v/>
      </c>
      <c r="AB18" s="241" t="s">
        <v>800</v>
      </c>
    </row>
    <row r="19" spans="1:28" ht="51.75" x14ac:dyDescent="0.25">
      <c r="A19" s="241" t="str">
        <f t="shared" si="4"/>
        <v/>
      </c>
      <c r="B19" s="241" t="s">
        <v>820</v>
      </c>
      <c r="D19" s="337">
        <v>0.2</v>
      </c>
      <c r="E19" s="241">
        <f t="shared" si="5"/>
        <v>0.2</v>
      </c>
      <c r="G19" s="337">
        <v>95</v>
      </c>
      <c r="H19" s="241">
        <f t="shared" si="0"/>
        <v>95</v>
      </c>
      <c r="J19" s="337">
        <v>24</v>
      </c>
      <c r="K19" s="241">
        <f t="shared" si="1"/>
        <v>24</v>
      </c>
      <c r="L19" s="241">
        <v>0</v>
      </c>
      <c r="M19" s="241">
        <f>AVERAGE(-25.6,-48.3,-18.6)</f>
        <v>-30.833333333333332</v>
      </c>
      <c r="N19" s="130" t="s">
        <v>636</v>
      </c>
      <c r="O19" s="130"/>
      <c r="P19" s="130"/>
      <c r="Q19" s="241">
        <f>IF(H19&lt;60,'Berechnung-WÜ-Material'!$AL$110,IF(AND(H19&gt;=60,H19&lt;80),'Berechnung-WÜ-Material'!$AM$110,IF(AND('Daten-Materialien'!H19&gt;=80,'Daten-Materialien'!H19&lt;100),'Berechnung-WÜ-Material'!$AN$110,IF(AND(H19&gt;=100,H19&lt;120),'Berechnung-WÜ-Material'!$AO$110,IF(AND('Daten-Materialien'!H19&gt;=120,'Daten-Materialien'!H19&lt;140),'Berechnung-WÜ-Material'!$AP$110,IF('Daten-Materialien'!H19&gt;140,'Berechnung-WÜ-Material'!$AQ$110,"FEHLER"))))))</f>
        <v>2.9517194566014666</v>
      </c>
      <c r="R19" s="241">
        <f>IF(E19&lt;0.1,'Berechnung-WÜ-Material'!$AS$110,IF(AND(E19&gt;=0.1,E19&lt;0.3),'Berechnung-WÜ-Material'!$AT$110,IF(AND('Daten-Materialien'!E19&gt;=0.3,'Daten-Materialien'!E19&lt;0.6),'Berechnung-WÜ-Material'!$AU$110,IF(AND(E19&gt;=0.6,E19&lt;1),'Berechnung-WÜ-Material'!$AV$110,IF(AND('Daten-Materialien'!E19&gt;=1,'Daten-Materialien'!E19&lt;1.5),'Berechnung-WÜ-Material'!$AW$110,IF('Daten-Materialien'!E19&gt;1.5,'Berechnung-WÜ-Material'!$AX$110,"FEHLER"))))))</f>
        <v>8.1415883793382715</v>
      </c>
      <c r="S19" s="241">
        <f>IF(K19&lt;15,'Berechnung-WÜ-Material'!$AZ$110,IF(AND(K19&gt;=15,K19&lt;30),'Berechnung-WÜ-Material'!$BA$110,IF(AND('Daten-Materialien'!K19&gt;=30,'Daten-Materialien'!K19&lt;45),'Berechnung-WÜ-Material'!$BB$110,IF(AND(K19&gt;=45,K19&lt;60),'Berechnung-WÜ-Material'!$BC$110,IF(AND('Daten-Materialien'!K19&gt;=60,'Daten-Materialien'!K19&lt;75),'Berechnung-WÜ-Material'!$BD$110,IF('Daten-Materialien'!K19&gt;75,'Berechnung-WÜ-Material'!$BE$110,"FEHLER"))))))</f>
        <v>5.3164008462907759</v>
      </c>
      <c r="T19" s="241">
        <f>SUM(Q19:S19)+(L19*3*'Berechnung-WÜ-Material'!$G$22)</f>
        <v>16.409708682230516</v>
      </c>
      <c r="U19" s="241">
        <f t="shared" si="2"/>
        <v>49.665587716827119</v>
      </c>
      <c r="V19" s="241">
        <f>100/'Berechnung-WÜ-Material'!$BF$112*'Daten-Materialien'!T19</f>
        <v>80.099932517990538</v>
      </c>
      <c r="W19" s="241">
        <f t="shared" si="3"/>
        <v>27</v>
      </c>
      <c r="X19" s="241" t="str">
        <f t="shared" si="6"/>
        <v/>
      </c>
      <c r="Y19" s="241">
        <f t="shared" si="7"/>
        <v>0</v>
      </c>
      <c r="Z19" s="241" t="str">
        <f t="shared" si="8"/>
        <v/>
      </c>
      <c r="AB19" s="241" t="s">
        <v>719</v>
      </c>
    </row>
    <row r="20" spans="1:28" ht="64.5" x14ac:dyDescent="0.25">
      <c r="A20" s="241" t="str">
        <f t="shared" si="4"/>
        <v/>
      </c>
      <c r="B20" s="241" t="s">
        <v>821</v>
      </c>
      <c r="C20" s="241">
        <v>1.25</v>
      </c>
      <c r="D20" s="241">
        <v>2.2000000000000002</v>
      </c>
      <c r="E20" s="241">
        <f t="shared" si="5"/>
        <v>1.7250000000000001</v>
      </c>
      <c r="F20" s="241">
        <v>93</v>
      </c>
      <c r="G20" s="241">
        <v>102</v>
      </c>
      <c r="H20" s="241">
        <f t="shared" si="0"/>
        <v>97.5</v>
      </c>
      <c r="J20" s="337">
        <v>24</v>
      </c>
      <c r="K20" s="241">
        <f t="shared" si="1"/>
        <v>24</v>
      </c>
      <c r="L20" s="241">
        <v>0</v>
      </c>
      <c r="M20" s="241">
        <v>-79</v>
      </c>
      <c r="N20" s="130" t="s">
        <v>637</v>
      </c>
      <c r="O20" s="130"/>
      <c r="P20" s="130"/>
      <c r="Q20" s="241">
        <f>IF(H20&lt;60,'Berechnung-WÜ-Material'!$AL$110,IF(AND(H20&gt;=60,H20&lt;80),'Berechnung-WÜ-Material'!$AM$110,IF(AND('Daten-Materialien'!H20&gt;=80,'Daten-Materialien'!H20&lt;100),'Berechnung-WÜ-Material'!$AN$110,IF(AND(H20&gt;=100,H20&lt;120),'Berechnung-WÜ-Material'!$AO$110,IF(AND('Daten-Materialien'!H20&gt;=120,'Daten-Materialien'!H20&lt;140),'Berechnung-WÜ-Material'!$AP$110,IF('Daten-Materialien'!H20&gt;140,'Berechnung-WÜ-Material'!$AQ$110,"FEHLER"))))))</f>
        <v>2.9517194566014666</v>
      </c>
      <c r="R20" s="241">
        <f>IF(E20&lt;0.1,'Berechnung-WÜ-Material'!$AS$110,IF(AND(E20&gt;=0.1,E20&lt;0.3),'Berechnung-WÜ-Material'!$AT$110,IF(AND('Daten-Materialien'!E20&gt;=0.3,'Daten-Materialien'!E20&lt;0.6),'Berechnung-WÜ-Material'!$AU$110,IF(AND(E20&gt;=0.6,E20&lt;1),'Berechnung-WÜ-Material'!$AV$110,IF(AND('Daten-Materialien'!E20&gt;=1,'Daten-Materialien'!E20&lt;1.5),'Berechnung-WÜ-Material'!$AW$110,IF('Daten-Materialien'!E20&gt;1.5,'Berechnung-WÜ-Material'!$AX$110,"FEHLER"))))))</f>
        <v>5.4606109077360685</v>
      </c>
      <c r="S20" s="241">
        <f>IF(K20&lt;15,'Berechnung-WÜ-Material'!$AZ$110,IF(AND(K20&gt;=15,K20&lt;30),'Berechnung-WÜ-Material'!$BA$110,IF(AND('Daten-Materialien'!K20&gt;=30,'Daten-Materialien'!K20&lt;45),'Berechnung-WÜ-Material'!$BB$110,IF(AND(K20&gt;=45,K20&lt;60),'Berechnung-WÜ-Material'!$BC$110,IF(AND('Daten-Materialien'!K20&gt;=60,'Daten-Materialien'!K20&lt;75),'Berechnung-WÜ-Material'!$BD$110,IF('Daten-Materialien'!K20&gt;75,'Berechnung-WÜ-Material'!$BE$110,"FEHLER"))))))</f>
        <v>5.3164008462907759</v>
      </c>
      <c r="T20" s="241">
        <f>SUM(Q20:S20)+(L20*3*'Berechnung-WÜ-Material'!$G$22)</f>
        <v>13.728731210628311</v>
      </c>
      <c r="U20" s="241">
        <f t="shared" si="2"/>
        <v>39.736041524913482</v>
      </c>
      <c r="V20" s="241">
        <f>100/'Berechnung-WÜ-Material'!$BF$112*'Daten-Materialien'!T20</f>
        <v>67.013404370776669</v>
      </c>
      <c r="W20" s="241">
        <f t="shared" si="3"/>
        <v>143</v>
      </c>
      <c r="X20" s="241" t="str">
        <f t="shared" si="6"/>
        <v/>
      </c>
      <c r="Y20" s="241">
        <f t="shared" si="7"/>
        <v>0</v>
      </c>
      <c r="Z20" s="241" t="str">
        <f t="shared" si="8"/>
        <v/>
      </c>
      <c r="AB20" s="241" t="s">
        <v>779</v>
      </c>
    </row>
    <row r="21" spans="1:28" ht="39" x14ac:dyDescent="0.25">
      <c r="A21" s="241" t="str">
        <f t="shared" si="4"/>
        <v/>
      </c>
      <c r="B21" s="241" t="s">
        <v>822</v>
      </c>
      <c r="D21" s="337">
        <v>0.2</v>
      </c>
      <c r="E21" s="241">
        <f t="shared" si="5"/>
        <v>0.2</v>
      </c>
      <c r="G21" s="338">
        <f>AVERAGE(102,160)</f>
        <v>131</v>
      </c>
      <c r="H21" s="241">
        <f t="shared" si="0"/>
        <v>131</v>
      </c>
      <c r="J21" s="337">
        <v>24</v>
      </c>
      <c r="K21" s="241">
        <f t="shared" si="1"/>
        <v>24</v>
      </c>
      <c r="L21" s="241">
        <v>0</v>
      </c>
      <c r="M21" s="241">
        <v>-69</v>
      </c>
      <c r="N21" s="130" t="s">
        <v>638</v>
      </c>
      <c r="O21" s="130"/>
      <c r="P21" s="130"/>
      <c r="Q21" s="241">
        <f>IF(H21&lt;60,'Berechnung-WÜ-Material'!$AL$110,IF(AND(H21&gt;=60,H21&lt;80),'Berechnung-WÜ-Material'!$AM$110,IF(AND('Daten-Materialien'!H21&gt;=80,'Daten-Materialien'!H21&lt;100),'Berechnung-WÜ-Material'!$AN$110,IF(AND(H21&gt;=100,H21&lt;120),'Berechnung-WÜ-Material'!$AO$110,IF(AND('Daten-Materialien'!H21&gt;=120,'Daten-Materialien'!H21&lt;140),'Berechnung-WÜ-Material'!$AP$110,IF('Daten-Materialien'!H21&gt;140,'Berechnung-WÜ-Material'!$AQ$110,"FEHLER"))))))</f>
        <v>2.7550019539188941</v>
      </c>
      <c r="R21" s="241">
        <f>IF(E21&lt;0.1,'Berechnung-WÜ-Material'!$AS$110,IF(AND(E21&gt;=0.1,E21&lt;0.3),'Berechnung-WÜ-Material'!$AT$110,IF(AND('Daten-Materialien'!E21&gt;=0.3,'Daten-Materialien'!E21&lt;0.6),'Berechnung-WÜ-Material'!$AU$110,IF(AND(E21&gt;=0.6,E21&lt;1),'Berechnung-WÜ-Material'!$AV$110,IF(AND('Daten-Materialien'!E21&gt;=1,'Daten-Materialien'!E21&lt;1.5),'Berechnung-WÜ-Material'!$AW$110,IF('Daten-Materialien'!E21&gt;1.5,'Berechnung-WÜ-Material'!$AX$110,"FEHLER"))))))</f>
        <v>8.1415883793382715</v>
      </c>
      <c r="S21" s="241">
        <f>IF(K21&lt;15,'Berechnung-WÜ-Material'!$AZ$110,IF(AND(K21&gt;=15,K21&lt;30),'Berechnung-WÜ-Material'!$BA$110,IF(AND('Daten-Materialien'!K21&gt;=30,'Daten-Materialien'!K21&lt;45),'Berechnung-WÜ-Material'!$BB$110,IF(AND(K21&gt;=45,K21&lt;60),'Berechnung-WÜ-Material'!$BC$110,IF(AND('Daten-Materialien'!K21&gt;=60,'Daten-Materialien'!K21&lt;75),'Berechnung-WÜ-Material'!$BD$110,IF('Daten-Materialien'!K21&gt;75,'Berechnung-WÜ-Material'!$BE$110,"FEHLER"))))))</f>
        <v>5.3164008462907759</v>
      </c>
      <c r="T21" s="241">
        <f>SUM(Q21:S21)+(L21*3*'Berechnung-WÜ-Material'!$G$22)</f>
        <v>16.212991179547942</v>
      </c>
      <c r="U21" s="241">
        <f t="shared" si="2"/>
        <v>48.937004373500038</v>
      </c>
      <c r="V21" s="241">
        <f>100/'Berechnung-WÜ-Material'!$BF$112*'Daten-Materialien'!T21</f>
        <v>79.139704704376484</v>
      </c>
      <c r="W21" s="241">
        <f t="shared" si="3"/>
        <v>60</v>
      </c>
      <c r="X21" s="241" t="str">
        <f t="shared" si="6"/>
        <v/>
      </c>
      <c r="Y21" s="241">
        <f t="shared" si="7"/>
        <v>0</v>
      </c>
      <c r="Z21" s="241" t="str">
        <f t="shared" si="8"/>
        <v/>
      </c>
      <c r="AB21" s="241" t="s">
        <v>916</v>
      </c>
    </row>
    <row r="22" spans="1:28" ht="51.75" x14ac:dyDescent="0.25">
      <c r="A22" s="241" t="str">
        <f t="shared" si="4"/>
        <v/>
      </c>
      <c r="B22" s="241" t="s">
        <v>639</v>
      </c>
      <c r="D22" s="337">
        <v>0.2</v>
      </c>
      <c r="E22" s="241">
        <f t="shared" si="5"/>
        <v>0.2</v>
      </c>
      <c r="F22" s="241">
        <v>135</v>
      </c>
      <c r="G22" s="241">
        <v>160</v>
      </c>
      <c r="H22" s="241">
        <f t="shared" si="0"/>
        <v>147.5</v>
      </c>
      <c r="J22" s="241">
        <v>0.9</v>
      </c>
      <c r="K22" s="241">
        <f t="shared" si="1"/>
        <v>0.9</v>
      </c>
      <c r="L22" s="241">
        <v>0</v>
      </c>
      <c r="M22" s="241">
        <f>(0.8-2.2)/2.2*100</f>
        <v>-63.636363636363633</v>
      </c>
      <c r="N22" s="130" t="s">
        <v>640</v>
      </c>
      <c r="O22" s="130"/>
      <c r="P22" s="130"/>
      <c r="Q22" s="241">
        <f>IF(H22&lt;60,'Berechnung-WÜ-Material'!$AL$110,IF(AND(H22&gt;=60,H22&lt;80),'Berechnung-WÜ-Material'!$AM$110,IF(AND('Daten-Materialien'!H22&gt;=80,'Daten-Materialien'!H22&lt;100),'Berechnung-WÜ-Material'!$AN$110,IF(AND(H22&gt;=100,H22&lt;120),'Berechnung-WÜ-Material'!$AO$110,IF(AND('Daten-Materialien'!H22&gt;=120,'Daten-Materialien'!H22&lt;140),'Berechnung-WÜ-Material'!$AP$110,IF('Daten-Materialien'!H22&gt;140,'Berechnung-WÜ-Material'!$AQ$110,"FEHLER"))))))</f>
        <v>5.3131194485671944</v>
      </c>
      <c r="R22" s="241">
        <f>IF(E22&lt;0.1,'Berechnung-WÜ-Material'!$AS$110,IF(AND(E22&gt;=0.1,E22&lt;0.3),'Berechnung-WÜ-Material'!$AT$110,IF(AND('Daten-Materialien'!E22&gt;=0.3,'Daten-Materialien'!E22&lt;0.6),'Berechnung-WÜ-Material'!$AU$110,IF(AND(E22&gt;=0.6,E22&lt;1),'Berechnung-WÜ-Material'!$AV$110,IF(AND('Daten-Materialien'!E22&gt;=1,'Daten-Materialien'!E22&lt;1.5),'Berechnung-WÜ-Material'!$AW$110,IF('Daten-Materialien'!E22&gt;1.5,'Berechnung-WÜ-Material'!$AX$110,"FEHLER"))))))</f>
        <v>8.1415883793382715</v>
      </c>
      <c r="S22" s="241">
        <f>IF(K22&lt;15,'Berechnung-WÜ-Material'!$AZ$110,IF(AND(K22&gt;=15,K22&lt;30),'Berechnung-WÜ-Material'!$BA$110,IF(AND('Daten-Materialien'!K22&gt;=30,'Daten-Materialien'!K22&lt;45),'Berechnung-WÜ-Material'!$BB$110,IF(AND(K22&gt;=45,K22&lt;60),'Berechnung-WÜ-Material'!$BC$110,IF(AND('Daten-Materialien'!K22&gt;=60,'Daten-Materialien'!K22&lt;75),'Berechnung-WÜ-Material'!$BD$110,IF('Daten-Materialien'!K22&gt;75,'Berechnung-WÜ-Material'!$BE$110,"FEHLER"))))))</f>
        <v>3.4607748084549512</v>
      </c>
      <c r="T22" s="241">
        <f>SUM(Q22:S22)+(L22*3*'Berechnung-WÜ-Material'!$G$22)</f>
        <v>16.915482636360416</v>
      </c>
      <c r="U22" s="241">
        <f t="shared" si="2"/>
        <v>51.538824584124754</v>
      </c>
      <c r="V22" s="241">
        <f>100/'Berechnung-WÜ-Material'!$BF$112*'Daten-Materialien'!T22</f>
        <v>82.56874292649168</v>
      </c>
      <c r="W22" s="241">
        <f t="shared" si="3"/>
        <v>22</v>
      </c>
      <c r="X22" s="241" t="str">
        <f t="shared" si="6"/>
        <v/>
      </c>
      <c r="Y22" s="241">
        <f t="shared" si="7"/>
        <v>0</v>
      </c>
      <c r="Z22" s="241" t="str">
        <f t="shared" si="8"/>
        <v/>
      </c>
      <c r="AB22" s="235" t="s">
        <v>920</v>
      </c>
    </row>
    <row r="23" spans="1:28" ht="39" x14ac:dyDescent="0.25">
      <c r="A23" s="241" t="str">
        <f t="shared" si="4"/>
        <v/>
      </c>
      <c r="B23" s="241" t="s">
        <v>823</v>
      </c>
      <c r="D23" s="241">
        <v>0.25</v>
      </c>
      <c r="E23" s="241">
        <f t="shared" si="5"/>
        <v>0.25</v>
      </c>
      <c r="G23" s="337">
        <v>101</v>
      </c>
      <c r="H23" s="241">
        <f t="shared" si="0"/>
        <v>101</v>
      </c>
      <c r="J23" s="337">
        <v>31</v>
      </c>
      <c r="K23" s="241">
        <f t="shared" si="1"/>
        <v>31</v>
      </c>
      <c r="L23" s="241">
        <v>0</v>
      </c>
      <c r="M23" s="241">
        <f>-5000/5500*100</f>
        <v>-90.909090909090907</v>
      </c>
      <c r="N23" s="130" t="s">
        <v>633</v>
      </c>
      <c r="O23" s="130"/>
      <c r="P23" s="130"/>
      <c r="Q23" s="241">
        <f>IF(H23&lt;60,'Berechnung-WÜ-Material'!$AL$110,IF(AND(H23&gt;=60,H23&lt;80),'Berechnung-WÜ-Material'!$AM$110,IF(AND('Daten-Materialien'!H23&gt;=80,'Daten-Materialien'!H23&lt;100),'Berechnung-WÜ-Material'!$AN$110,IF(AND(H23&gt;=100,H23&lt;120),'Berechnung-WÜ-Material'!$AO$110,IF(AND('Daten-Materialien'!H23&gt;=120,'Daten-Materialien'!H23&lt;140),'Berechnung-WÜ-Material'!$AP$110,IF('Daten-Materialien'!H23&gt;140,'Berechnung-WÜ-Material'!$AQ$110,"FEHLER"))))))</f>
        <v>3.4064092551223228</v>
      </c>
      <c r="R23" s="241">
        <f>IF(E23&lt;0.1,'Berechnung-WÜ-Material'!$AS$110,IF(AND(E23&gt;=0.1,E23&lt;0.3),'Berechnung-WÜ-Material'!$AT$110,IF(AND('Daten-Materialien'!E23&gt;=0.3,'Daten-Materialien'!E23&lt;0.6),'Berechnung-WÜ-Material'!$AU$110,IF(AND(E23&gt;=0.6,E23&lt;1),'Berechnung-WÜ-Material'!$AV$110,IF(AND('Daten-Materialien'!E23&gt;=1,'Daten-Materialien'!E23&lt;1.5),'Berechnung-WÜ-Material'!$AW$110,IF('Daten-Materialien'!E23&gt;1.5,'Berechnung-WÜ-Material'!$AX$110,"FEHLER"))))))</f>
        <v>8.1415883793382715</v>
      </c>
      <c r="S23" s="241">
        <f>IF(K23&lt;15,'Berechnung-WÜ-Material'!$AZ$110,IF(AND(K23&gt;=15,K23&lt;30),'Berechnung-WÜ-Material'!$BA$110,IF(AND('Daten-Materialien'!K23&gt;=30,'Daten-Materialien'!K23&lt;45),'Berechnung-WÜ-Material'!$BB$110,IF(AND(K23&gt;=45,K23&lt;60),'Berechnung-WÜ-Material'!$BC$110,IF(AND('Daten-Materialien'!K23&gt;=60,'Daten-Materialien'!K23&lt;75),'Berechnung-WÜ-Material'!$BD$110,IF('Daten-Materialien'!K23&gt;75,'Berechnung-WÜ-Material'!$BE$110,"FEHLER"))))))</f>
        <v>5.9436257603083487</v>
      </c>
      <c r="T23" s="241">
        <f>SUM(Q23:S23)+(L23*3*'Berechnung-WÜ-Material'!$G$22)</f>
        <v>17.491623394768943</v>
      </c>
      <c r="U23" s="241">
        <f t="shared" si="2"/>
        <v>53.672679245067783</v>
      </c>
      <c r="V23" s="241">
        <f>100/'Berechnung-WÜ-Material'!$BF$112*'Daten-Materialien'!T23</f>
        <v>85.381031478534041</v>
      </c>
      <c r="W23" s="241">
        <f t="shared" si="3"/>
        <v>5</v>
      </c>
      <c r="X23" s="241" t="str">
        <f t="shared" si="6"/>
        <v/>
      </c>
      <c r="Y23" s="241">
        <f t="shared" si="7"/>
        <v>0</v>
      </c>
      <c r="Z23" s="241" t="str">
        <f t="shared" si="8"/>
        <v/>
      </c>
      <c r="AB23" s="241" t="s">
        <v>915</v>
      </c>
    </row>
    <row r="24" spans="1:28" ht="51.75" customHeight="1" x14ac:dyDescent="0.25">
      <c r="A24" s="241" t="str">
        <f t="shared" si="4"/>
        <v/>
      </c>
      <c r="B24" s="241" t="s">
        <v>824</v>
      </c>
      <c r="D24" s="337">
        <v>0.25</v>
      </c>
      <c r="E24" s="241">
        <f t="shared" si="5"/>
        <v>0.25</v>
      </c>
      <c r="G24" s="337">
        <v>101</v>
      </c>
      <c r="H24" s="241">
        <f t="shared" si="0"/>
        <v>101</v>
      </c>
      <c r="J24" s="337">
        <v>31</v>
      </c>
      <c r="K24" s="241">
        <f t="shared" si="1"/>
        <v>31</v>
      </c>
      <c r="L24" s="241">
        <v>0</v>
      </c>
      <c r="M24" s="241">
        <f>AVERAGE(-71,-70,-65,-81)</f>
        <v>-71.75</v>
      </c>
      <c r="N24" s="130" t="s">
        <v>641</v>
      </c>
      <c r="O24" s="130"/>
      <c r="P24" s="130"/>
      <c r="Q24" s="241">
        <f>IF(H24&lt;60,'Berechnung-WÜ-Material'!$AL$110,IF(AND(H24&gt;=60,H24&lt;80),'Berechnung-WÜ-Material'!$AM$110,IF(AND('Daten-Materialien'!H24&gt;=80,'Daten-Materialien'!H24&lt;100),'Berechnung-WÜ-Material'!$AN$110,IF(AND(H24&gt;=100,H24&lt;120),'Berechnung-WÜ-Material'!$AO$110,IF(AND('Daten-Materialien'!H24&gt;=120,'Daten-Materialien'!H24&lt;140),'Berechnung-WÜ-Material'!$AP$110,IF('Daten-Materialien'!H24&gt;140,'Berechnung-WÜ-Material'!$AQ$110,"FEHLER"))))))</f>
        <v>3.4064092551223228</v>
      </c>
      <c r="R24" s="241">
        <f>IF(E24&lt;0.1,'Berechnung-WÜ-Material'!$AS$110,IF(AND(E24&gt;=0.1,E24&lt;0.3),'Berechnung-WÜ-Material'!$AT$110,IF(AND('Daten-Materialien'!E24&gt;=0.3,'Daten-Materialien'!E24&lt;0.6),'Berechnung-WÜ-Material'!$AU$110,IF(AND(E24&gt;=0.6,E24&lt;1),'Berechnung-WÜ-Material'!$AV$110,IF(AND('Daten-Materialien'!E24&gt;=1,'Daten-Materialien'!E24&lt;1.5),'Berechnung-WÜ-Material'!$AW$110,IF('Daten-Materialien'!E24&gt;1.5,'Berechnung-WÜ-Material'!$AX$110,"FEHLER"))))))</f>
        <v>8.1415883793382715</v>
      </c>
      <c r="S24" s="241">
        <f>IF(K24&lt;15,'Berechnung-WÜ-Material'!$AZ$110,IF(AND(K24&gt;=15,K24&lt;30),'Berechnung-WÜ-Material'!$BA$110,IF(AND('Daten-Materialien'!K24&gt;=30,'Daten-Materialien'!K24&lt;45),'Berechnung-WÜ-Material'!$BB$110,IF(AND(K24&gt;=45,K24&lt;60),'Berechnung-WÜ-Material'!$BC$110,IF(AND('Daten-Materialien'!K24&gt;=60,'Daten-Materialien'!K24&lt;75),'Berechnung-WÜ-Material'!$BD$110,IF('Daten-Materialien'!K24&gt;75,'Berechnung-WÜ-Material'!$BE$110,"FEHLER"))))))</f>
        <v>5.9436257603083487</v>
      </c>
      <c r="T24" s="241">
        <f>SUM(Q24:S24)+(L24*3*'Berechnung-WÜ-Material'!$G$22)</f>
        <v>17.491623394768943</v>
      </c>
      <c r="U24" s="241">
        <f t="shared" si="2"/>
        <v>53.672679245067783</v>
      </c>
      <c r="V24" s="241">
        <f>100/'Berechnung-WÜ-Material'!$BF$112*'Daten-Materialien'!T24</f>
        <v>85.381031478534041</v>
      </c>
      <c r="W24" s="241">
        <f t="shared" si="3"/>
        <v>5</v>
      </c>
      <c r="X24" s="241" t="str">
        <f t="shared" si="6"/>
        <v/>
      </c>
      <c r="Y24" s="241">
        <f t="shared" si="7"/>
        <v>0</v>
      </c>
      <c r="Z24" s="241" t="str">
        <f t="shared" si="8"/>
        <v/>
      </c>
      <c r="AB24" s="241" t="s">
        <v>919</v>
      </c>
    </row>
    <row r="25" spans="1:28" ht="38.25" customHeight="1" x14ac:dyDescent="0.2">
      <c r="A25" s="241" t="str">
        <f t="shared" si="4"/>
        <v/>
      </c>
      <c r="B25" s="241" t="s">
        <v>642</v>
      </c>
      <c r="C25" s="241">
        <v>0.12</v>
      </c>
      <c r="D25" s="241">
        <v>0.23</v>
      </c>
      <c r="E25" s="241">
        <f t="shared" si="5"/>
        <v>0.17499999999999999</v>
      </c>
      <c r="F25" s="241">
        <v>79</v>
      </c>
      <c r="G25" s="241">
        <v>101</v>
      </c>
      <c r="H25" s="241">
        <f t="shared" si="0"/>
        <v>90</v>
      </c>
      <c r="I25" s="241">
        <v>21</v>
      </c>
      <c r="J25" s="241">
        <v>31</v>
      </c>
      <c r="K25" s="241">
        <f t="shared" si="1"/>
        <v>26</v>
      </c>
      <c r="L25" s="241">
        <v>0</v>
      </c>
      <c r="M25" s="241">
        <f>(10-45)/45*100</f>
        <v>-77.777777777777786</v>
      </c>
      <c r="N25" s="130" t="s">
        <v>638</v>
      </c>
      <c r="O25" s="130"/>
      <c r="P25" s="130"/>
      <c r="Q25" s="241">
        <f>IF(H25&lt;60,'Berechnung-WÜ-Material'!$AL$110,IF(AND(H25&gt;=60,H25&lt;80),'Berechnung-WÜ-Material'!$AM$110,IF(AND('Daten-Materialien'!H25&gt;=80,'Daten-Materialien'!H25&lt;100),'Berechnung-WÜ-Material'!$AN$110,IF(AND(H25&gt;=100,H25&lt;120),'Berechnung-WÜ-Material'!$AO$110,IF(AND('Daten-Materialien'!H25&gt;=120,'Daten-Materialien'!H25&lt;140),'Berechnung-WÜ-Material'!$AP$110,IF('Daten-Materialien'!H25&gt;140,'Berechnung-WÜ-Material'!$AQ$110,"FEHLER"))))))</f>
        <v>2.9517194566014666</v>
      </c>
      <c r="R25" s="241">
        <f>IF(E25&lt;0.1,'Berechnung-WÜ-Material'!$AS$110,IF(AND(E25&gt;=0.1,E25&lt;0.3),'Berechnung-WÜ-Material'!$AT$110,IF(AND('Daten-Materialien'!E25&gt;=0.3,'Daten-Materialien'!E25&lt;0.6),'Berechnung-WÜ-Material'!$AU$110,IF(AND(E25&gt;=0.6,E25&lt;1),'Berechnung-WÜ-Material'!$AV$110,IF(AND('Daten-Materialien'!E25&gt;=1,'Daten-Materialien'!E25&lt;1.5),'Berechnung-WÜ-Material'!$AW$110,IF('Daten-Materialien'!E25&gt;1.5,'Berechnung-WÜ-Material'!$AX$110,"FEHLER"))))))</f>
        <v>8.1415883793382715</v>
      </c>
      <c r="S25" s="241">
        <f>IF(K25&lt;15,'Berechnung-WÜ-Material'!$AZ$110,IF(AND(K25&gt;=15,K25&lt;30),'Berechnung-WÜ-Material'!$BA$110,IF(AND('Daten-Materialien'!K25&gt;=30,'Daten-Materialien'!K25&lt;45),'Berechnung-WÜ-Material'!$BB$110,IF(AND(K25&gt;=45,K25&lt;60),'Berechnung-WÜ-Material'!$BC$110,IF(AND('Daten-Materialien'!K25&gt;=60,'Daten-Materialien'!K25&lt;75),'Berechnung-WÜ-Material'!$BD$110,IF('Daten-Materialien'!K25&gt;75,'Berechnung-WÜ-Material'!$BE$110,"FEHLER"))))))</f>
        <v>5.3164008462907759</v>
      </c>
      <c r="T25" s="241">
        <f>SUM(Q25:S25)+(L25*3*'Berechnung-WÜ-Material'!$G$22)</f>
        <v>16.409708682230516</v>
      </c>
      <c r="U25" s="241">
        <f t="shared" si="2"/>
        <v>49.665587716827119</v>
      </c>
      <c r="V25" s="241">
        <f>100/'Berechnung-WÜ-Material'!$BF$112*'Daten-Materialien'!T25</f>
        <v>80.099932517990538</v>
      </c>
      <c r="W25" s="241">
        <f t="shared" si="3"/>
        <v>27</v>
      </c>
      <c r="X25" s="241" t="str">
        <f t="shared" si="6"/>
        <v/>
      </c>
      <c r="Y25" s="241">
        <f t="shared" si="7"/>
        <v>0</v>
      </c>
      <c r="Z25" s="241" t="str">
        <f t="shared" si="8"/>
        <v/>
      </c>
      <c r="AB25" s="241" t="s">
        <v>918</v>
      </c>
    </row>
    <row r="26" spans="1:28" ht="26.25" x14ac:dyDescent="0.25">
      <c r="A26" s="241" t="str">
        <f t="shared" si="4"/>
        <v/>
      </c>
      <c r="B26" s="241" t="s">
        <v>643</v>
      </c>
      <c r="D26" s="241">
        <v>1.8</v>
      </c>
      <c r="E26" s="241">
        <f t="shared" si="5"/>
        <v>1.8</v>
      </c>
      <c r="G26" s="337">
        <v>102</v>
      </c>
      <c r="H26" s="241">
        <f t="shared" si="0"/>
        <v>102</v>
      </c>
      <c r="J26" s="241">
        <v>22</v>
      </c>
      <c r="K26" s="241">
        <f t="shared" si="1"/>
        <v>22</v>
      </c>
      <c r="L26" s="241">
        <v>0</v>
      </c>
      <c r="M26" s="241">
        <f>-(1.43-1.3)/1.43*100</f>
        <v>-9.0909090909090846</v>
      </c>
      <c r="N26" s="130" t="s">
        <v>631</v>
      </c>
      <c r="O26" s="130"/>
      <c r="P26" s="130"/>
      <c r="Q26" s="241">
        <f>IF(H26&lt;60,'Berechnung-WÜ-Material'!$AL$110,IF(AND(H26&gt;=60,H26&lt;80),'Berechnung-WÜ-Material'!$AM$110,IF(AND('Daten-Materialien'!H26&gt;=80,'Daten-Materialien'!H26&lt;100),'Berechnung-WÜ-Material'!$AN$110,IF(AND(H26&gt;=100,H26&lt;120),'Berechnung-WÜ-Material'!$AO$110,IF(AND('Daten-Materialien'!H26&gt;=120,'Daten-Materialien'!H26&lt;140),'Berechnung-WÜ-Material'!$AP$110,IF('Daten-Materialien'!H26&gt;140,'Berechnung-WÜ-Material'!$AQ$110,"FEHLER"))))))</f>
        <v>3.4064092551223228</v>
      </c>
      <c r="R26" s="241">
        <f>IF(E26&lt;0.1,'Berechnung-WÜ-Material'!$AS$110,IF(AND(E26&gt;=0.1,E26&lt;0.3),'Berechnung-WÜ-Material'!$AT$110,IF(AND('Daten-Materialien'!E26&gt;=0.3,'Daten-Materialien'!E26&lt;0.6),'Berechnung-WÜ-Material'!$AU$110,IF(AND(E26&gt;=0.6,E26&lt;1),'Berechnung-WÜ-Material'!$AV$110,IF(AND('Daten-Materialien'!E26&gt;=1,'Daten-Materialien'!E26&lt;1.5),'Berechnung-WÜ-Material'!$AW$110,IF('Daten-Materialien'!E26&gt;1.5,'Berechnung-WÜ-Material'!$AX$110,"FEHLER"))))))</f>
        <v>5.4606109077360685</v>
      </c>
      <c r="S26" s="241">
        <f>IF(K26&lt;15,'Berechnung-WÜ-Material'!$AZ$110,IF(AND(K26&gt;=15,K26&lt;30),'Berechnung-WÜ-Material'!$BA$110,IF(AND('Daten-Materialien'!K26&gt;=30,'Daten-Materialien'!K26&lt;45),'Berechnung-WÜ-Material'!$BB$110,IF(AND(K26&gt;=45,K26&lt;60),'Berechnung-WÜ-Material'!$BC$110,IF(AND('Daten-Materialien'!K26&gt;=60,'Daten-Materialien'!K26&lt;75),'Berechnung-WÜ-Material'!$BD$110,IF('Daten-Materialien'!K26&gt;75,'Berechnung-WÜ-Material'!$BE$110,"FEHLER"))))))</f>
        <v>5.3164008462907759</v>
      </c>
      <c r="T26" s="241">
        <f>SUM(Q26:S26)+(L26*3*'Berechnung-WÜ-Material'!$G$22)</f>
        <v>14.183421009149168</v>
      </c>
      <c r="U26" s="241">
        <f t="shared" si="2"/>
        <v>41.420077815866193</v>
      </c>
      <c r="V26" s="241">
        <f>100/'Berechnung-WÜ-Material'!$BF$112*'Daten-Materialien'!T26</f>
        <v>69.23286011392328</v>
      </c>
      <c r="W26" s="241">
        <f t="shared" si="3"/>
        <v>126</v>
      </c>
      <c r="X26" s="241" t="str">
        <f t="shared" si="6"/>
        <v/>
      </c>
      <c r="Y26" s="241">
        <f t="shared" si="7"/>
        <v>0</v>
      </c>
      <c r="Z26" s="241" t="str">
        <f t="shared" si="8"/>
        <v/>
      </c>
      <c r="AB26" s="235" t="s">
        <v>910</v>
      </c>
    </row>
    <row r="27" spans="1:28" ht="26.25" x14ac:dyDescent="0.25">
      <c r="A27" s="241" t="str">
        <f t="shared" si="4"/>
        <v/>
      </c>
      <c r="B27" s="241" t="s">
        <v>644</v>
      </c>
      <c r="D27" s="241">
        <v>1.7</v>
      </c>
      <c r="E27" s="241">
        <f t="shared" si="5"/>
        <v>1.7</v>
      </c>
      <c r="G27" s="337">
        <v>102</v>
      </c>
      <c r="H27" s="241">
        <f t="shared" si="0"/>
        <v>102</v>
      </c>
      <c r="J27" s="241">
        <v>23</v>
      </c>
      <c r="K27" s="241">
        <f t="shared" si="1"/>
        <v>23</v>
      </c>
      <c r="L27" s="241">
        <v>0</v>
      </c>
      <c r="M27" s="241">
        <f>-(1.43-1.9)/1.43*100</f>
        <v>32.867132867132867</v>
      </c>
      <c r="N27" s="130" t="s">
        <v>631</v>
      </c>
      <c r="O27" s="130"/>
      <c r="P27" s="130"/>
      <c r="Q27" s="241">
        <f>IF(H27&lt;60,'Berechnung-WÜ-Material'!$AL$110,IF(AND(H27&gt;=60,H27&lt;80),'Berechnung-WÜ-Material'!$AM$110,IF(AND('Daten-Materialien'!H27&gt;=80,'Daten-Materialien'!H27&lt;100),'Berechnung-WÜ-Material'!$AN$110,IF(AND(H27&gt;=100,H27&lt;120),'Berechnung-WÜ-Material'!$AO$110,IF(AND('Daten-Materialien'!H27&gt;=120,'Daten-Materialien'!H27&lt;140),'Berechnung-WÜ-Material'!$AP$110,IF('Daten-Materialien'!H27&gt;140,'Berechnung-WÜ-Material'!$AQ$110,"FEHLER"))))))</f>
        <v>3.4064092551223228</v>
      </c>
      <c r="R27" s="241">
        <f>IF(E27&lt;0.1,'Berechnung-WÜ-Material'!$AS$110,IF(AND(E27&gt;=0.1,E27&lt;0.3),'Berechnung-WÜ-Material'!$AT$110,IF(AND('Daten-Materialien'!E27&gt;=0.3,'Daten-Materialien'!E27&lt;0.6),'Berechnung-WÜ-Material'!$AU$110,IF(AND(E27&gt;=0.6,E27&lt;1),'Berechnung-WÜ-Material'!$AV$110,IF(AND('Daten-Materialien'!E27&gt;=1,'Daten-Materialien'!E27&lt;1.5),'Berechnung-WÜ-Material'!$AW$110,IF('Daten-Materialien'!E27&gt;1.5,'Berechnung-WÜ-Material'!$AX$110,"FEHLER"))))))</f>
        <v>5.4606109077360685</v>
      </c>
      <c r="S27" s="241">
        <f>IF(K27&lt;15,'Berechnung-WÜ-Material'!$AZ$110,IF(AND(K27&gt;=15,K27&lt;30),'Berechnung-WÜ-Material'!$BA$110,IF(AND('Daten-Materialien'!K27&gt;=30,'Daten-Materialien'!K27&lt;45),'Berechnung-WÜ-Material'!$BB$110,IF(AND(K27&gt;=45,K27&lt;60),'Berechnung-WÜ-Material'!$BC$110,IF(AND('Daten-Materialien'!K27&gt;=60,'Daten-Materialien'!K27&lt;75),'Berechnung-WÜ-Material'!$BD$110,IF('Daten-Materialien'!K27&gt;75,'Berechnung-WÜ-Material'!$BE$110,"FEHLER"))))))</f>
        <v>5.3164008462907759</v>
      </c>
      <c r="T27" s="241">
        <f>SUM(Q27:S27)+(L27*3*'Berechnung-WÜ-Material'!$G$22)</f>
        <v>14.183421009149168</v>
      </c>
      <c r="U27" s="241">
        <f t="shared" si="2"/>
        <v>41.420077815866193</v>
      </c>
      <c r="V27" s="241">
        <f>100/'Berechnung-WÜ-Material'!$BF$112*'Daten-Materialien'!T27</f>
        <v>69.23286011392328</v>
      </c>
      <c r="W27" s="241">
        <f t="shared" si="3"/>
        <v>126</v>
      </c>
      <c r="X27" s="241" t="str">
        <f t="shared" si="6"/>
        <v/>
      </c>
      <c r="Y27" s="241">
        <f t="shared" si="7"/>
        <v>0</v>
      </c>
      <c r="Z27" s="241" t="str">
        <f t="shared" si="8"/>
        <v/>
      </c>
      <c r="AB27" s="241" t="s">
        <v>917</v>
      </c>
    </row>
    <row r="28" spans="1:28" ht="51.75" x14ac:dyDescent="0.25">
      <c r="A28" s="241" t="str">
        <f t="shared" si="4"/>
        <v/>
      </c>
      <c r="B28" s="241" t="s">
        <v>645</v>
      </c>
      <c r="D28" s="241">
        <v>0.92</v>
      </c>
      <c r="E28" s="241">
        <f t="shared" si="5"/>
        <v>0.92</v>
      </c>
      <c r="G28" s="339">
        <v>97.6</v>
      </c>
      <c r="H28" s="241">
        <f t="shared" si="0"/>
        <v>97.6</v>
      </c>
      <c r="J28" s="338">
        <v>24</v>
      </c>
      <c r="K28" s="241">
        <f t="shared" si="1"/>
        <v>24</v>
      </c>
      <c r="L28" s="241">
        <v>0</v>
      </c>
      <c r="M28" s="241">
        <f>(0.099-0.13)/0.13*100</f>
        <v>-23.846153846153843</v>
      </c>
      <c r="N28" s="130" t="s">
        <v>646</v>
      </c>
      <c r="O28" s="130"/>
      <c r="P28" s="130"/>
      <c r="Q28" s="241">
        <f>IF(H28&lt;60,'Berechnung-WÜ-Material'!$AL$110,IF(AND(H28&gt;=60,H28&lt;80),'Berechnung-WÜ-Material'!$AM$110,IF(AND('Daten-Materialien'!H28&gt;=80,'Daten-Materialien'!H28&lt;100),'Berechnung-WÜ-Material'!$AN$110,IF(AND(H28&gt;=100,H28&lt;120),'Berechnung-WÜ-Material'!$AO$110,IF(AND('Daten-Materialien'!H28&gt;=120,'Daten-Materialien'!H28&lt;140),'Berechnung-WÜ-Material'!$AP$110,IF('Daten-Materialien'!H28&gt;140,'Berechnung-WÜ-Material'!$AQ$110,"FEHLER"))))))</f>
        <v>2.9517194566014666</v>
      </c>
      <c r="R28" s="241">
        <f>IF(E28&lt;0.1,'Berechnung-WÜ-Material'!$AS$110,IF(AND(E28&gt;=0.1,E28&lt;0.3),'Berechnung-WÜ-Material'!$AT$110,IF(AND('Daten-Materialien'!E28&gt;=0.3,'Daten-Materialien'!E28&lt;0.6),'Berechnung-WÜ-Material'!$AU$110,IF(AND(E28&gt;=0.6,E28&lt;1),'Berechnung-WÜ-Material'!$AV$110,IF(AND('Daten-Materialien'!E28&gt;=1,'Daten-Materialien'!E28&lt;1.5),'Berechnung-WÜ-Material'!$AW$110,IF('Daten-Materialien'!E28&gt;1.5,'Berechnung-WÜ-Material'!$AX$110,"FEHLER"))))))</f>
        <v>7.3404134064714102</v>
      </c>
      <c r="S28" s="241">
        <f>IF(K28&lt;15,'Berechnung-WÜ-Material'!$AZ$110,IF(AND(K28&gt;=15,K28&lt;30),'Berechnung-WÜ-Material'!$BA$110,IF(AND('Daten-Materialien'!K28&gt;=30,'Daten-Materialien'!K28&lt;45),'Berechnung-WÜ-Material'!$BB$110,IF(AND(K28&gt;=45,K28&lt;60),'Berechnung-WÜ-Material'!$BC$110,IF(AND('Daten-Materialien'!K28&gt;=60,'Daten-Materialien'!K28&lt;75),'Berechnung-WÜ-Material'!$BD$110,IF('Daten-Materialien'!K28&gt;75,'Berechnung-WÜ-Material'!$BE$110,"FEHLER"))))))</f>
        <v>5.3164008462907759</v>
      </c>
      <c r="T28" s="241">
        <f>SUM(Q28:S28)+(L28*3*'Berechnung-WÜ-Material'!$G$22)</f>
        <v>15.608533709363652</v>
      </c>
      <c r="U28" s="241">
        <f t="shared" si="2"/>
        <v>46.698273002268017</v>
      </c>
      <c r="V28" s="241">
        <f>100/'Berechnung-WÜ-Material'!$BF$112*'Daten-Materialien'!T28</f>
        <v>76.189195130481011</v>
      </c>
      <c r="W28" s="241">
        <f t="shared" si="3"/>
        <v>77</v>
      </c>
      <c r="X28" s="241" t="str">
        <f t="shared" si="6"/>
        <v/>
      </c>
      <c r="Y28" s="241">
        <f t="shared" si="7"/>
        <v>0</v>
      </c>
      <c r="Z28" s="241" t="str">
        <f t="shared" si="8"/>
        <v/>
      </c>
      <c r="AB28" s="235" t="s">
        <v>909</v>
      </c>
    </row>
    <row r="29" spans="1:28" ht="51.75" x14ac:dyDescent="0.25">
      <c r="A29" s="241" t="str">
        <f t="shared" si="4"/>
        <v/>
      </c>
      <c r="B29" s="241" t="s">
        <v>647</v>
      </c>
      <c r="D29" s="241">
        <v>0.95</v>
      </c>
      <c r="E29" s="241">
        <f t="shared" si="5"/>
        <v>0.95</v>
      </c>
      <c r="G29" s="339">
        <v>91</v>
      </c>
      <c r="H29" s="241">
        <f t="shared" si="0"/>
        <v>91</v>
      </c>
      <c r="J29" s="338">
        <v>24</v>
      </c>
      <c r="K29" s="241">
        <f t="shared" si="1"/>
        <v>24</v>
      </c>
      <c r="L29" s="241">
        <v>0</v>
      </c>
      <c r="M29" s="241">
        <f>(0.115-0.13)/0.13*100</f>
        <v>-11.538461538461538</v>
      </c>
      <c r="N29" s="130" t="s">
        <v>646</v>
      </c>
      <c r="O29" s="130"/>
      <c r="P29" s="130"/>
      <c r="Q29" s="241">
        <f>IF(H29&lt;60,'Berechnung-WÜ-Material'!$AL$110,IF(AND(H29&gt;=60,H29&lt;80),'Berechnung-WÜ-Material'!$AM$110,IF(AND('Daten-Materialien'!H29&gt;=80,'Daten-Materialien'!H29&lt;100),'Berechnung-WÜ-Material'!$AN$110,IF(AND(H29&gt;=100,H29&lt;120),'Berechnung-WÜ-Material'!$AO$110,IF(AND('Daten-Materialien'!H29&gt;=120,'Daten-Materialien'!H29&lt;140),'Berechnung-WÜ-Material'!$AP$110,IF('Daten-Materialien'!H29&gt;140,'Berechnung-WÜ-Material'!$AQ$110,"FEHLER"))))))</f>
        <v>2.9517194566014666</v>
      </c>
      <c r="R29" s="241">
        <f>IF(E29&lt;0.1,'Berechnung-WÜ-Material'!$AS$110,IF(AND(E29&gt;=0.1,E29&lt;0.3),'Berechnung-WÜ-Material'!$AT$110,IF(AND('Daten-Materialien'!E29&gt;=0.3,'Daten-Materialien'!E29&lt;0.6),'Berechnung-WÜ-Material'!$AU$110,IF(AND(E29&gt;=0.6,E29&lt;1),'Berechnung-WÜ-Material'!$AV$110,IF(AND('Daten-Materialien'!E29&gt;=1,'Daten-Materialien'!E29&lt;1.5),'Berechnung-WÜ-Material'!$AW$110,IF('Daten-Materialien'!E29&gt;1.5,'Berechnung-WÜ-Material'!$AX$110,"FEHLER"))))))</f>
        <v>7.3404134064714102</v>
      </c>
      <c r="S29" s="241">
        <f>IF(K29&lt;15,'Berechnung-WÜ-Material'!$AZ$110,IF(AND(K29&gt;=15,K29&lt;30),'Berechnung-WÜ-Material'!$BA$110,IF(AND('Daten-Materialien'!K29&gt;=30,'Daten-Materialien'!K29&lt;45),'Berechnung-WÜ-Material'!$BB$110,IF(AND(K29&gt;=45,K29&lt;60),'Berechnung-WÜ-Material'!$BC$110,IF(AND('Daten-Materialien'!K29&gt;=60,'Daten-Materialien'!K29&lt;75),'Berechnung-WÜ-Material'!$BD$110,IF('Daten-Materialien'!K29&gt;75,'Berechnung-WÜ-Material'!$BE$110,"FEHLER"))))))</f>
        <v>5.3164008462907759</v>
      </c>
      <c r="T29" s="241">
        <f>SUM(Q29:S29)+(L29*3*'Berechnung-WÜ-Material'!$G$22)</f>
        <v>15.608533709363652</v>
      </c>
      <c r="U29" s="241">
        <f t="shared" si="2"/>
        <v>46.698273002268017</v>
      </c>
      <c r="V29" s="241">
        <f>100/'Berechnung-WÜ-Material'!$BF$112*'Daten-Materialien'!T29</f>
        <v>76.189195130481011</v>
      </c>
      <c r="W29" s="241">
        <f t="shared" si="3"/>
        <v>77</v>
      </c>
      <c r="X29" s="241" t="str">
        <f t="shared" si="6"/>
        <v/>
      </c>
      <c r="Y29" s="241">
        <f t="shared" si="7"/>
        <v>0</v>
      </c>
      <c r="Z29" s="241" t="str">
        <f t="shared" si="8"/>
        <v/>
      </c>
      <c r="AB29" s="241" t="s">
        <v>1016</v>
      </c>
    </row>
    <row r="30" spans="1:28" ht="51.75" x14ac:dyDescent="0.25">
      <c r="A30" s="241" t="str">
        <f t="shared" si="4"/>
        <v/>
      </c>
      <c r="B30" s="241" t="s">
        <v>648</v>
      </c>
      <c r="D30" s="241">
        <v>1.1399999999999999</v>
      </c>
      <c r="E30" s="241">
        <f t="shared" si="5"/>
        <v>1.1399999999999999</v>
      </c>
      <c r="G30" s="339">
        <v>95.8</v>
      </c>
      <c r="H30" s="241">
        <f t="shared" si="0"/>
        <v>95.8</v>
      </c>
      <c r="J30" s="338">
        <v>24</v>
      </c>
      <c r="K30" s="241">
        <f t="shared" si="1"/>
        <v>24</v>
      </c>
      <c r="L30" s="241">
        <v>0</v>
      </c>
      <c r="M30" s="241">
        <f>(0.06-0.13)/0.13*100</f>
        <v>-53.846153846153854</v>
      </c>
      <c r="N30" s="130" t="s">
        <v>646</v>
      </c>
      <c r="O30" s="130"/>
      <c r="P30" s="130"/>
      <c r="Q30" s="241">
        <f>IF(H30&lt;60,'Berechnung-WÜ-Material'!$AL$110,IF(AND(H30&gt;=60,H30&lt;80),'Berechnung-WÜ-Material'!$AM$110,IF(AND('Daten-Materialien'!H30&gt;=80,'Daten-Materialien'!H30&lt;100),'Berechnung-WÜ-Material'!$AN$110,IF(AND(H30&gt;=100,H30&lt;120),'Berechnung-WÜ-Material'!$AO$110,IF(AND('Daten-Materialien'!H30&gt;=120,'Daten-Materialien'!H30&lt;140),'Berechnung-WÜ-Material'!$AP$110,IF('Daten-Materialien'!H30&gt;140,'Berechnung-WÜ-Material'!$AQ$110,"FEHLER"))))))</f>
        <v>2.9517194566014666</v>
      </c>
      <c r="R30" s="241">
        <f>IF(E30&lt;0.1,'Berechnung-WÜ-Material'!$AS$110,IF(AND(E30&gt;=0.1,E30&lt;0.3),'Berechnung-WÜ-Material'!$AT$110,IF(AND('Daten-Materialien'!E30&gt;=0.3,'Daten-Materialien'!E30&lt;0.6),'Berechnung-WÜ-Material'!$AU$110,IF(AND(E30&gt;=0.6,E30&lt;1),'Berechnung-WÜ-Material'!$AV$110,IF(AND('Daten-Materialien'!E30&gt;=1,'Daten-Materialien'!E30&lt;1.5),'Berechnung-WÜ-Material'!$AW$110,IF('Daten-Materialien'!E30&gt;1.5,'Berechnung-WÜ-Material'!$AX$110,"FEHLER"))))))</f>
        <v>3.6900162641574328</v>
      </c>
      <c r="S30" s="241">
        <f>IF(K30&lt;15,'Berechnung-WÜ-Material'!$AZ$110,IF(AND(K30&gt;=15,K30&lt;30),'Berechnung-WÜ-Material'!$BA$110,IF(AND('Daten-Materialien'!K30&gt;=30,'Daten-Materialien'!K30&lt;45),'Berechnung-WÜ-Material'!$BB$110,IF(AND(K30&gt;=45,K30&lt;60),'Berechnung-WÜ-Material'!$BC$110,IF(AND('Daten-Materialien'!K30&gt;=60,'Daten-Materialien'!K30&lt;75),'Berechnung-WÜ-Material'!$BD$110,IF('Daten-Materialien'!K30&gt;75,'Berechnung-WÜ-Material'!$BE$110,"FEHLER"))))))</f>
        <v>5.3164008462907759</v>
      </c>
      <c r="T30" s="241">
        <f>SUM(Q30:S30)+(L30*3*'Berechnung-WÜ-Material'!$G$22)</f>
        <v>11.958136567049674</v>
      </c>
      <c r="U30" s="241">
        <f t="shared" si="2"/>
        <v>33.178283585208725</v>
      </c>
      <c r="V30" s="241">
        <f>100/'Berechnung-WÜ-Material'!$BF$112*'Daten-Materialien'!T30</f>
        <v>58.37068473365472</v>
      </c>
      <c r="W30" s="241">
        <f t="shared" si="3"/>
        <v>199</v>
      </c>
      <c r="X30" s="241" t="str">
        <f t="shared" si="6"/>
        <v/>
      </c>
      <c r="Y30" s="241">
        <f t="shared" si="7"/>
        <v>0</v>
      </c>
      <c r="Z30" s="241" t="str">
        <f t="shared" si="8"/>
        <v/>
      </c>
      <c r="AB30" s="241" t="s">
        <v>626</v>
      </c>
    </row>
    <row r="31" spans="1:28" ht="51.75" x14ac:dyDescent="0.25">
      <c r="A31" s="241" t="str">
        <f t="shared" si="4"/>
        <v/>
      </c>
      <c r="B31" s="241" t="s">
        <v>649</v>
      </c>
      <c r="D31" s="241">
        <v>0.23</v>
      </c>
      <c r="E31" s="241">
        <f t="shared" si="5"/>
        <v>0.23</v>
      </c>
      <c r="G31" s="339">
        <v>92.2</v>
      </c>
      <c r="H31" s="241">
        <f t="shared" si="0"/>
        <v>92.2</v>
      </c>
      <c r="J31" s="338">
        <v>31</v>
      </c>
      <c r="K31" s="241">
        <f t="shared" si="1"/>
        <v>31</v>
      </c>
      <c r="L31" s="241">
        <v>0</v>
      </c>
      <c r="M31" s="241">
        <f>(0.022-0.13)/0.13*100</f>
        <v>-83.07692307692308</v>
      </c>
      <c r="N31" s="130" t="s">
        <v>646</v>
      </c>
      <c r="O31" s="130"/>
      <c r="P31" s="130"/>
      <c r="Q31" s="241">
        <f>IF(H31&lt;60,'Berechnung-WÜ-Material'!$AL$110,IF(AND(H31&gt;=60,H31&lt;80),'Berechnung-WÜ-Material'!$AM$110,IF(AND('Daten-Materialien'!H31&gt;=80,'Daten-Materialien'!H31&lt;100),'Berechnung-WÜ-Material'!$AN$110,IF(AND(H31&gt;=100,H31&lt;120),'Berechnung-WÜ-Material'!$AO$110,IF(AND('Daten-Materialien'!H31&gt;=120,'Daten-Materialien'!H31&lt;140),'Berechnung-WÜ-Material'!$AP$110,IF('Daten-Materialien'!H31&gt;140,'Berechnung-WÜ-Material'!$AQ$110,"FEHLER"))))))</f>
        <v>2.9517194566014666</v>
      </c>
      <c r="R31" s="241">
        <f>IF(E31&lt;0.1,'Berechnung-WÜ-Material'!$AS$110,IF(AND(E31&gt;=0.1,E31&lt;0.3),'Berechnung-WÜ-Material'!$AT$110,IF(AND('Daten-Materialien'!E31&gt;=0.3,'Daten-Materialien'!E31&lt;0.6),'Berechnung-WÜ-Material'!$AU$110,IF(AND(E31&gt;=0.6,E31&lt;1),'Berechnung-WÜ-Material'!$AV$110,IF(AND('Daten-Materialien'!E31&gt;=1,'Daten-Materialien'!E31&lt;1.5),'Berechnung-WÜ-Material'!$AW$110,IF('Daten-Materialien'!E31&gt;1.5,'Berechnung-WÜ-Material'!$AX$110,"FEHLER"))))))</f>
        <v>8.1415883793382715</v>
      </c>
      <c r="S31" s="241">
        <f>IF(K31&lt;15,'Berechnung-WÜ-Material'!$AZ$110,IF(AND(K31&gt;=15,K31&lt;30),'Berechnung-WÜ-Material'!$BA$110,IF(AND('Daten-Materialien'!K31&gt;=30,'Daten-Materialien'!K31&lt;45),'Berechnung-WÜ-Material'!$BB$110,IF(AND(K31&gt;=45,K31&lt;60),'Berechnung-WÜ-Material'!$BC$110,IF(AND('Daten-Materialien'!K31&gt;=60,'Daten-Materialien'!K31&lt;75),'Berechnung-WÜ-Material'!$BD$110,IF('Daten-Materialien'!K31&gt;75,'Berechnung-WÜ-Material'!$BE$110,"FEHLER"))))))</f>
        <v>5.9436257603083487</v>
      </c>
      <c r="T31" s="241">
        <f>SUM(Q31:S31)+(L31*3*'Berechnung-WÜ-Material'!$G$22)</f>
        <v>17.036933596248087</v>
      </c>
      <c r="U31" s="241">
        <f t="shared" si="2"/>
        <v>51.988642954115079</v>
      </c>
      <c r="V31" s="241">
        <f>100/'Berechnung-WÜ-Material'!$BF$112*'Daten-Materialien'!T31</f>
        <v>83.16157573538743</v>
      </c>
      <c r="W31" s="241">
        <f t="shared" si="3"/>
        <v>13</v>
      </c>
      <c r="X31" s="241" t="str">
        <f t="shared" si="6"/>
        <v/>
      </c>
      <c r="Y31" s="241">
        <f t="shared" si="7"/>
        <v>0</v>
      </c>
      <c r="Z31" s="241" t="str">
        <f t="shared" si="8"/>
        <v/>
      </c>
      <c r="AB31" s="241" t="s">
        <v>709</v>
      </c>
    </row>
    <row r="32" spans="1:28" ht="51.75" x14ac:dyDescent="0.25">
      <c r="A32" s="241" t="str">
        <f t="shared" si="4"/>
        <v/>
      </c>
      <c r="B32" s="241" t="s">
        <v>650</v>
      </c>
      <c r="D32" s="241">
        <v>0.06</v>
      </c>
      <c r="E32" s="241">
        <f t="shared" si="5"/>
        <v>0.06</v>
      </c>
      <c r="G32" s="339">
        <v>93.4</v>
      </c>
      <c r="H32" s="241">
        <f t="shared" si="0"/>
        <v>93.4</v>
      </c>
      <c r="J32" s="338">
        <v>31</v>
      </c>
      <c r="K32" s="241">
        <f t="shared" si="1"/>
        <v>31</v>
      </c>
      <c r="L32" s="241">
        <v>0</v>
      </c>
      <c r="M32" s="241">
        <f>(0.03-0.13)/0.13*100</f>
        <v>-76.923076923076934</v>
      </c>
      <c r="N32" s="130" t="s">
        <v>646</v>
      </c>
      <c r="O32" s="130"/>
      <c r="P32" s="130"/>
      <c r="Q32" s="241">
        <f>IF(H32&lt;60,'Berechnung-WÜ-Material'!$AL$110,IF(AND(H32&gt;=60,H32&lt;80),'Berechnung-WÜ-Material'!$AM$110,IF(AND('Daten-Materialien'!H32&gt;=80,'Daten-Materialien'!H32&lt;100),'Berechnung-WÜ-Material'!$AN$110,IF(AND(H32&gt;=100,H32&lt;120),'Berechnung-WÜ-Material'!$AO$110,IF(AND('Daten-Materialien'!H32&gt;=120,'Daten-Materialien'!H32&lt;140),'Berechnung-WÜ-Material'!$AP$110,IF('Daten-Materialien'!H32&gt;140,'Berechnung-WÜ-Material'!$AQ$110,"FEHLER"))))))</f>
        <v>2.9517194566014666</v>
      </c>
      <c r="R32" s="241">
        <f>IF(E32&lt;0.1,'Berechnung-WÜ-Material'!$AS$110,IF(AND(E32&gt;=0.1,E32&lt;0.3),'Berechnung-WÜ-Material'!$AT$110,IF(AND('Daten-Materialien'!E32&gt;=0.3,'Daten-Materialien'!E32&lt;0.6),'Berechnung-WÜ-Material'!$AU$110,IF(AND(E32&gt;=0.6,E32&lt;1),'Berechnung-WÜ-Material'!$AV$110,IF(AND('Daten-Materialien'!E32&gt;=1,'Daten-Materialien'!E32&lt;1.5),'Berechnung-WÜ-Material'!$AW$110,IF('Daten-Materialien'!E32&gt;1.5,'Berechnung-WÜ-Material'!$AX$110,"FEHLER"))))))</f>
        <v>5.4090960472347849</v>
      </c>
      <c r="S32" s="241">
        <f>IF(K32&lt;15,'Berechnung-WÜ-Material'!$AZ$110,IF(AND(K32&gt;=15,K32&lt;30),'Berechnung-WÜ-Material'!$BA$110,IF(AND('Daten-Materialien'!K32&gt;=30,'Daten-Materialien'!K32&lt;45),'Berechnung-WÜ-Material'!$BB$110,IF(AND(K32&gt;=45,K32&lt;60),'Berechnung-WÜ-Material'!$BC$110,IF(AND('Daten-Materialien'!K32&gt;=60,'Daten-Materialien'!K32&lt;75),'Berechnung-WÜ-Material'!$BD$110,IF('Daten-Materialien'!K32&gt;75,'Berechnung-WÜ-Material'!$BE$110,"FEHLER"))))))</f>
        <v>5.9436257603083487</v>
      </c>
      <c r="T32" s="241">
        <f>SUM(Q32:S32)+(L32*3*'Berechnung-WÜ-Material'!$G$22)</f>
        <v>14.3044412641446</v>
      </c>
      <c r="U32" s="241">
        <f t="shared" si="2"/>
        <v>41.868300982551801</v>
      </c>
      <c r="V32" s="241">
        <f>100/'Berechnung-WÜ-Material'!$BF$112*'Daten-Materialien'!T32</f>
        <v>69.82359054346108</v>
      </c>
      <c r="W32" s="241">
        <f t="shared" si="3"/>
        <v>115</v>
      </c>
      <c r="X32" s="241" t="str">
        <f t="shared" si="6"/>
        <v/>
      </c>
      <c r="Y32" s="241">
        <f t="shared" si="7"/>
        <v>0</v>
      </c>
      <c r="Z32" s="241" t="str">
        <f t="shared" si="8"/>
        <v/>
      </c>
      <c r="AB32" s="241" t="s">
        <v>712</v>
      </c>
    </row>
    <row r="33" spans="1:28" ht="51.75" x14ac:dyDescent="0.25">
      <c r="A33" s="241" t="str">
        <f t="shared" si="4"/>
        <v/>
      </c>
      <c r="B33" s="241" t="s">
        <v>825</v>
      </c>
      <c r="D33" s="340">
        <v>0.41</v>
      </c>
      <c r="E33" s="241">
        <f t="shared" si="5"/>
        <v>0.41</v>
      </c>
      <c r="G33" s="337">
        <v>66</v>
      </c>
      <c r="H33" s="241">
        <f t="shared" si="0"/>
        <v>66</v>
      </c>
      <c r="J33" s="241">
        <v>35</v>
      </c>
      <c r="K33" s="241">
        <f t="shared" si="1"/>
        <v>35</v>
      </c>
      <c r="L33" s="241">
        <v>0.5</v>
      </c>
      <c r="M33" s="241">
        <f>(3.2-5.5)/5.5*100</f>
        <v>-41.818181818181813</v>
      </c>
      <c r="N33" s="130" t="s">
        <v>652</v>
      </c>
      <c r="O33" s="130"/>
      <c r="P33" s="130"/>
      <c r="Q33" s="241">
        <f>IF(H33&lt;60,'Berechnung-WÜ-Material'!$AL$110,IF(AND(H33&gt;=60,H33&lt;80),'Berechnung-WÜ-Material'!$AM$110,IF(AND('Daten-Materialien'!H33&gt;=80,'Daten-Materialien'!H33&lt;100),'Berechnung-WÜ-Material'!$AN$110,IF(AND(H33&gt;=100,H33&lt;120),'Berechnung-WÜ-Material'!$AO$110,IF(AND('Daten-Materialien'!H33&gt;=120,'Daten-Materialien'!H33&lt;140),'Berechnung-WÜ-Material'!$AP$110,IF('Daten-Materialien'!H33&gt;140,'Berechnung-WÜ-Material'!$AQ$110,"FEHLER"))))))</f>
        <v>1.4830749679207913</v>
      </c>
      <c r="R33" s="241">
        <f>IF(E33&lt;0.1,'Berechnung-WÜ-Material'!$AS$110,IF(AND(E33&gt;=0.1,E33&lt;0.3),'Berechnung-WÜ-Material'!$AT$110,IF(AND('Daten-Materialien'!E33&gt;=0.3,'Daten-Materialien'!E33&lt;0.6),'Berechnung-WÜ-Material'!$AU$110,IF(AND(E33&gt;=0.6,E33&lt;1),'Berechnung-WÜ-Material'!$AV$110,IF(AND('Daten-Materialien'!E33&gt;=1,'Daten-Materialien'!E33&lt;1.5),'Berechnung-WÜ-Material'!$AW$110,IF('Daten-Materialien'!E33&gt;1.5,'Berechnung-WÜ-Material'!$AX$110,"FEHLER"))))))</f>
        <v>7.4603395508911365</v>
      </c>
      <c r="S33" s="241">
        <f>IF(K33&lt;15,'Berechnung-WÜ-Material'!$AZ$110,IF(AND(K33&gt;=15,K33&lt;30),'Berechnung-WÜ-Material'!$BA$110,IF(AND('Daten-Materialien'!K33&gt;=30,'Daten-Materialien'!K33&lt;45),'Berechnung-WÜ-Material'!$BB$110,IF(AND(K33&gt;=45,K33&lt;60),'Berechnung-WÜ-Material'!$BC$110,IF(AND('Daten-Materialien'!K33&gt;=60,'Daten-Materialien'!K33&lt;75),'Berechnung-WÜ-Material'!$BD$110,IF('Daten-Materialien'!K33&gt;75,'Berechnung-WÜ-Material'!$BE$110,"FEHLER"))))))</f>
        <v>5.9436257603083487</v>
      </c>
      <c r="T33" s="241">
        <f>SUM(Q33:S33)+(L33*3*'Berechnung-WÜ-Material'!$G$22)</f>
        <v>15.715150072952124</v>
      </c>
      <c r="U33" s="241">
        <f t="shared" si="2"/>
        <v>47.09314842299765</v>
      </c>
      <c r="V33" s="241">
        <f>100/'Berechnung-WÜ-Material'!$BF$112*'Daten-Materialien'!T33</f>
        <v>76.709616528211114</v>
      </c>
      <c r="W33" s="241">
        <f t="shared" si="3"/>
        <v>70</v>
      </c>
      <c r="X33" s="241" t="str">
        <f t="shared" si="6"/>
        <v/>
      </c>
      <c r="Y33" s="241">
        <f t="shared" si="7"/>
        <v>0</v>
      </c>
      <c r="Z33" s="241" t="str">
        <f t="shared" si="8"/>
        <v/>
      </c>
      <c r="AB33" s="241" t="s">
        <v>711</v>
      </c>
    </row>
    <row r="34" spans="1:28" ht="51" customHeight="1" x14ac:dyDescent="0.2">
      <c r="A34" s="241" t="str">
        <f t="shared" si="4"/>
        <v/>
      </c>
      <c r="B34" s="241" t="s">
        <v>826</v>
      </c>
      <c r="D34" s="241">
        <v>0.5</v>
      </c>
      <c r="E34" s="241">
        <f t="shared" si="5"/>
        <v>0.5</v>
      </c>
      <c r="G34" s="241">
        <v>70</v>
      </c>
      <c r="H34" s="241">
        <f t="shared" si="0"/>
        <v>70</v>
      </c>
      <c r="J34" s="241">
        <v>30</v>
      </c>
      <c r="K34" s="241">
        <f t="shared" si="1"/>
        <v>30</v>
      </c>
      <c r="L34" s="241">
        <v>0.5</v>
      </c>
      <c r="M34" s="241">
        <f>-(2-1.75)/2*100</f>
        <v>-12.5</v>
      </c>
      <c r="N34" s="130" t="s">
        <v>653</v>
      </c>
      <c r="O34" s="130"/>
      <c r="P34" s="130"/>
      <c r="Q34" s="241">
        <f>IF(H34&lt;60,'Berechnung-WÜ-Material'!$AL$110,IF(AND(H34&gt;=60,H34&lt;80),'Berechnung-WÜ-Material'!$AM$110,IF(AND('Daten-Materialien'!H34&gt;=80,'Daten-Materialien'!H34&lt;100),'Berechnung-WÜ-Material'!$AN$110,IF(AND(H34&gt;=100,H34&lt;120),'Berechnung-WÜ-Material'!$AO$110,IF(AND('Daten-Materialien'!H34&gt;=120,'Daten-Materialien'!H34&lt;140),'Berechnung-WÜ-Material'!$AP$110,IF('Daten-Materialien'!H34&gt;140,'Berechnung-WÜ-Material'!$AQ$110,"FEHLER"))))))</f>
        <v>1.4830749679207913</v>
      </c>
      <c r="R34" s="241">
        <f>IF(E34&lt;0.1,'Berechnung-WÜ-Material'!$AS$110,IF(AND(E34&gt;=0.1,E34&lt;0.3),'Berechnung-WÜ-Material'!$AT$110,IF(AND('Daten-Materialien'!E34&gt;=0.3,'Daten-Materialien'!E34&lt;0.6),'Berechnung-WÜ-Material'!$AU$110,IF(AND(E34&gt;=0.6,E34&lt;1),'Berechnung-WÜ-Material'!$AV$110,IF(AND('Daten-Materialien'!E34&gt;=1,'Daten-Materialien'!E34&lt;1.5),'Berechnung-WÜ-Material'!$AW$110,IF('Daten-Materialien'!E34&gt;1.5,'Berechnung-WÜ-Material'!$AX$110,"FEHLER"))))))</f>
        <v>7.4603395508911365</v>
      </c>
      <c r="S34" s="241">
        <f>IF(K34&lt;15,'Berechnung-WÜ-Material'!$AZ$110,IF(AND(K34&gt;=15,K34&lt;30),'Berechnung-WÜ-Material'!$BA$110,IF(AND('Daten-Materialien'!K34&gt;=30,'Daten-Materialien'!K34&lt;45),'Berechnung-WÜ-Material'!$BB$110,IF(AND(K34&gt;=45,K34&lt;60),'Berechnung-WÜ-Material'!$BC$110,IF(AND('Daten-Materialien'!K34&gt;=60,'Daten-Materialien'!K34&lt;75),'Berechnung-WÜ-Material'!$BD$110,IF('Daten-Materialien'!K34&gt;75,'Berechnung-WÜ-Material'!$BE$110,"FEHLER"))))))</f>
        <v>5.9436257603083487</v>
      </c>
      <c r="T34" s="241">
        <f>SUM(Q34:S34)+(L34*3*'Berechnung-WÜ-Material'!$G$22)</f>
        <v>15.715150072952124</v>
      </c>
      <c r="U34" s="241">
        <f t="shared" si="2"/>
        <v>47.09314842299765</v>
      </c>
      <c r="V34" s="241">
        <f>100/'Berechnung-WÜ-Material'!$BF$112*'Daten-Materialien'!T34</f>
        <v>76.709616528211114</v>
      </c>
      <c r="W34" s="241">
        <f t="shared" ref="W34:W65" si="9">RANK(V34,$V$2:$V$238)</f>
        <v>70</v>
      </c>
      <c r="X34" s="241" t="str">
        <f t="shared" si="6"/>
        <v/>
      </c>
      <c r="Y34" s="241">
        <f t="shared" si="7"/>
        <v>0</v>
      </c>
      <c r="Z34" s="241" t="str">
        <f t="shared" si="8"/>
        <v/>
      </c>
      <c r="AB34" s="241" t="s">
        <v>713</v>
      </c>
    </row>
    <row r="35" spans="1:28" ht="51.75" x14ac:dyDescent="0.25">
      <c r="A35" s="241" t="str">
        <f t="shared" si="4"/>
        <v/>
      </c>
      <c r="B35" s="241" t="s">
        <v>827</v>
      </c>
      <c r="D35" s="337">
        <v>0.14499999999999999</v>
      </c>
      <c r="E35" s="241">
        <f t="shared" si="5"/>
        <v>0.14499999999999999</v>
      </c>
      <c r="G35" s="241">
        <v>59</v>
      </c>
      <c r="H35" s="241">
        <f t="shared" si="0"/>
        <v>59</v>
      </c>
      <c r="J35" s="241">
        <v>51</v>
      </c>
      <c r="K35" s="241">
        <f t="shared" si="1"/>
        <v>51</v>
      </c>
      <c r="L35" s="241">
        <v>0.5</v>
      </c>
      <c r="M35" s="241">
        <v>-3</v>
      </c>
      <c r="N35" s="130" t="s">
        <v>629</v>
      </c>
      <c r="O35" s="130"/>
      <c r="P35" s="130"/>
      <c r="Q35" s="241">
        <f>IF(H35&lt;60,'Berechnung-WÜ-Material'!$AL$110,IF(AND(H35&gt;=60,H35&lt;80),'Berechnung-WÜ-Material'!$AM$110,IF(AND('Daten-Materialien'!H35&gt;=80,'Daten-Materialien'!H35&lt;100),'Berechnung-WÜ-Material'!$AN$110,IF(AND(H35&gt;=100,H35&lt;120),'Berechnung-WÜ-Material'!$AO$110,IF(AND('Daten-Materialien'!H35&gt;=120,'Daten-Materialien'!H35&lt;140),'Berechnung-WÜ-Material'!$AP$110,IF('Daten-Materialien'!H35&gt;140,'Berechnung-WÜ-Material'!$AQ$110,"FEHLER"))))))</f>
        <v>2.2063369805171464</v>
      </c>
      <c r="R35" s="241">
        <f>IF(E35&lt;0.1,'Berechnung-WÜ-Material'!$AS$110,IF(AND(E35&gt;=0.1,E35&lt;0.3),'Berechnung-WÜ-Material'!$AT$110,IF(AND('Daten-Materialien'!E35&gt;=0.3,'Daten-Materialien'!E35&lt;0.6),'Berechnung-WÜ-Material'!$AU$110,IF(AND(E35&gt;=0.6,E35&lt;1),'Berechnung-WÜ-Material'!$AV$110,IF(AND('Daten-Materialien'!E35&gt;=1,'Daten-Materialien'!E35&lt;1.5),'Berechnung-WÜ-Material'!$AW$110,IF('Daten-Materialien'!E35&gt;1.5,'Berechnung-WÜ-Material'!$AX$110,"FEHLER"))))))</f>
        <v>8.1415883793382715</v>
      </c>
      <c r="S35" s="241">
        <f>IF(K35&lt;15,'Berechnung-WÜ-Material'!$AZ$110,IF(AND(K35&gt;=15,K35&lt;30),'Berechnung-WÜ-Material'!$BA$110,IF(AND('Daten-Materialien'!K35&gt;=30,'Daten-Materialien'!K35&lt;45),'Berechnung-WÜ-Material'!$BB$110,IF(AND(K35&gt;=45,K35&lt;60),'Berechnung-WÜ-Material'!$BC$110,IF(AND('Daten-Materialien'!K35&gt;=60,'Daten-Materialien'!K35&lt;75),'Berechnung-WÜ-Material'!$BD$110,IF('Daten-Materialien'!K35&gt;75,'Berechnung-WÜ-Material'!$BE$110,"FEHLER"))))))</f>
        <v>2.6681383364247617</v>
      </c>
      <c r="T35" s="241">
        <f>SUM(Q35:S35)+(L35*3*'Berechnung-WÜ-Material'!$G$22)</f>
        <v>13.844173490112029</v>
      </c>
      <c r="U35" s="241">
        <f t="shared" si="2"/>
        <v>40.163605523035528</v>
      </c>
      <c r="V35" s="241">
        <f>100/'Berechnung-WÜ-Material'!$BF$112*'Daten-Materialien'!T35</f>
        <v>67.576907293066938</v>
      </c>
      <c r="W35" s="241">
        <f t="shared" si="9"/>
        <v>132</v>
      </c>
      <c r="X35" s="241" t="str">
        <f t="shared" si="6"/>
        <v/>
      </c>
      <c r="Y35" s="241">
        <f t="shared" si="7"/>
        <v>0</v>
      </c>
      <c r="Z35" s="241" t="str">
        <f t="shared" si="8"/>
        <v/>
      </c>
      <c r="AB35" s="241" t="s">
        <v>728</v>
      </c>
    </row>
    <row r="36" spans="1:28" ht="51.75" x14ac:dyDescent="0.25">
      <c r="A36" s="241" t="str">
        <f t="shared" si="4"/>
        <v/>
      </c>
      <c r="B36" s="241" t="s">
        <v>828</v>
      </c>
      <c r="D36" s="337">
        <v>0.14499999999999999</v>
      </c>
      <c r="E36" s="241">
        <f t="shared" si="5"/>
        <v>0.14499999999999999</v>
      </c>
      <c r="G36" s="241">
        <v>67</v>
      </c>
      <c r="H36" s="241">
        <f t="shared" si="0"/>
        <v>67</v>
      </c>
      <c r="J36" s="241">
        <v>45</v>
      </c>
      <c r="K36" s="241">
        <f t="shared" si="1"/>
        <v>45</v>
      </c>
      <c r="L36" s="241">
        <v>0.5</v>
      </c>
      <c r="M36" s="241">
        <v>-15</v>
      </c>
      <c r="N36" s="130" t="s">
        <v>629</v>
      </c>
      <c r="O36" s="130"/>
      <c r="P36" s="130"/>
      <c r="Q36" s="241">
        <f>IF(H36&lt;60,'Berechnung-WÜ-Material'!$AL$110,IF(AND(H36&gt;=60,H36&lt;80),'Berechnung-WÜ-Material'!$AM$110,IF(AND('Daten-Materialien'!H36&gt;=80,'Daten-Materialien'!H36&lt;100),'Berechnung-WÜ-Material'!$AN$110,IF(AND(H36&gt;=100,H36&lt;120),'Berechnung-WÜ-Material'!$AO$110,IF(AND('Daten-Materialien'!H36&gt;=120,'Daten-Materialien'!H36&lt;140),'Berechnung-WÜ-Material'!$AP$110,IF('Daten-Materialien'!H36&gt;140,'Berechnung-WÜ-Material'!$AQ$110,"FEHLER"))))))</f>
        <v>1.4830749679207913</v>
      </c>
      <c r="R36" s="241">
        <f>IF(E36&lt;0.1,'Berechnung-WÜ-Material'!$AS$110,IF(AND(E36&gt;=0.1,E36&lt;0.3),'Berechnung-WÜ-Material'!$AT$110,IF(AND('Daten-Materialien'!E36&gt;=0.3,'Daten-Materialien'!E36&lt;0.6),'Berechnung-WÜ-Material'!$AU$110,IF(AND(E36&gt;=0.6,E36&lt;1),'Berechnung-WÜ-Material'!$AV$110,IF(AND('Daten-Materialien'!E36&gt;=1,'Daten-Materialien'!E36&lt;1.5),'Berechnung-WÜ-Material'!$AW$110,IF('Daten-Materialien'!E36&gt;1.5,'Berechnung-WÜ-Material'!$AX$110,"FEHLER"))))))</f>
        <v>8.1415883793382715</v>
      </c>
      <c r="S36" s="241">
        <f>IF(K36&lt;15,'Berechnung-WÜ-Material'!$AZ$110,IF(AND(K36&gt;=15,K36&lt;30),'Berechnung-WÜ-Material'!$BA$110,IF(AND('Daten-Materialien'!K36&gt;=30,'Daten-Materialien'!K36&lt;45),'Berechnung-WÜ-Material'!$BB$110,IF(AND(K36&gt;=45,K36&lt;60),'Berechnung-WÜ-Material'!$BC$110,IF(AND('Daten-Materialien'!K36&gt;=60,'Daten-Materialien'!K36&lt;75),'Berechnung-WÜ-Material'!$BD$110,IF('Daten-Materialien'!K36&gt;75,'Berechnung-WÜ-Material'!$BE$110,"FEHLER"))))))</f>
        <v>2.6681383364247617</v>
      </c>
      <c r="T36" s="241">
        <f>SUM(Q36:S36)+(L36*3*'Berechnung-WÜ-Material'!$G$22)</f>
        <v>13.120911477515671</v>
      </c>
      <c r="U36" s="241">
        <f t="shared" si="2"/>
        <v>37.484857328019906</v>
      </c>
      <c r="V36" s="241">
        <f>100/'Berechnung-WÜ-Material'!$BF$112*'Daten-Materialien'!T36</f>
        <v>64.046482742353973</v>
      </c>
      <c r="W36" s="241">
        <f t="shared" si="9"/>
        <v>159</v>
      </c>
      <c r="X36" s="241" t="str">
        <f t="shared" si="6"/>
        <v/>
      </c>
      <c r="Y36" s="241">
        <f t="shared" si="7"/>
        <v>0</v>
      </c>
      <c r="Z36" s="241" t="str">
        <f t="shared" si="8"/>
        <v/>
      </c>
      <c r="AB36" s="241" t="s">
        <v>651</v>
      </c>
    </row>
    <row r="37" spans="1:28" ht="51.75" x14ac:dyDescent="0.25">
      <c r="A37" s="241" t="str">
        <f t="shared" si="4"/>
        <v/>
      </c>
      <c r="B37" s="241" t="s">
        <v>829</v>
      </c>
      <c r="D37" s="241">
        <v>0.21</v>
      </c>
      <c r="E37" s="241">
        <f t="shared" si="5"/>
        <v>0.21</v>
      </c>
      <c r="G37" s="337">
        <v>66</v>
      </c>
      <c r="H37" s="241">
        <f t="shared" si="0"/>
        <v>66</v>
      </c>
      <c r="J37" s="241">
        <v>48</v>
      </c>
      <c r="K37" s="241">
        <f t="shared" si="1"/>
        <v>48</v>
      </c>
      <c r="L37" s="241">
        <v>0.5</v>
      </c>
      <c r="M37" s="241">
        <v>-38</v>
      </c>
      <c r="N37" s="130" t="s">
        <v>654</v>
      </c>
      <c r="O37" s="130"/>
      <c r="P37" s="130"/>
      <c r="Q37" s="241">
        <f>IF(H37&lt;60,'Berechnung-WÜ-Material'!$AL$110,IF(AND(H37&gt;=60,H37&lt;80),'Berechnung-WÜ-Material'!$AM$110,IF(AND('Daten-Materialien'!H37&gt;=80,'Daten-Materialien'!H37&lt;100),'Berechnung-WÜ-Material'!$AN$110,IF(AND(H37&gt;=100,H37&lt;120),'Berechnung-WÜ-Material'!$AO$110,IF(AND('Daten-Materialien'!H37&gt;=120,'Daten-Materialien'!H37&lt;140),'Berechnung-WÜ-Material'!$AP$110,IF('Daten-Materialien'!H37&gt;140,'Berechnung-WÜ-Material'!$AQ$110,"FEHLER"))))))</f>
        <v>1.4830749679207913</v>
      </c>
      <c r="R37" s="241">
        <f>IF(E37&lt;0.1,'Berechnung-WÜ-Material'!$AS$110,IF(AND(E37&gt;=0.1,E37&lt;0.3),'Berechnung-WÜ-Material'!$AT$110,IF(AND('Daten-Materialien'!E37&gt;=0.3,'Daten-Materialien'!E37&lt;0.6),'Berechnung-WÜ-Material'!$AU$110,IF(AND(E37&gt;=0.6,E37&lt;1),'Berechnung-WÜ-Material'!$AV$110,IF(AND('Daten-Materialien'!E37&gt;=1,'Daten-Materialien'!E37&lt;1.5),'Berechnung-WÜ-Material'!$AW$110,IF('Daten-Materialien'!E37&gt;1.5,'Berechnung-WÜ-Material'!$AX$110,"FEHLER"))))))</f>
        <v>8.1415883793382715</v>
      </c>
      <c r="S37" s="241">
        <f>IF(K37&lt;15,'Berechnung-WÜ-Material'!$AZ$110,IF(AND(K37&gt;=15,K37&lt;30),'Berechnung-WÜ-Material'!$BA$110,IF(AND('Daten-Materialien'!K37&gt;=30,'Daten-Materialien'!K37&lt;45),'Berechnung-WÜ-Material'!$BB$110,IF(AND(K37&gt;=45,K37&lt;60),'Berechnung-WÜ-Material'!$BC$110,IF(AND('Daten-Materialien'!K37&gt;=60,'Daten-Materialien'!K37&lt;75),'Berechnung-WÜ-Material'!$BD$110,IF('Daten-Materialien'!K37&gt;75,'Berechnung-WÜ-Material'!$BE$110,"FEHLER"))))))</f>
        <v>2.6681383364247617</v>
      </c>
      <c r="T37" s="241">
        <f>SUM(Q37:S37)+(L37*3*'Berechnung-WÜ-Material'!$G$22)</f>
        <v>13.120911477515671</v>
      </c>
      <c r="U37" s="241">
        <f t="shared" si="2"/>
        <v>37.484857328019906</v>
      </c>
      <c r="V37" s="241">
        <f>100/'Berechnung-WÜ-Material'!$BF$112*'Daten-Materialien'!T37</f>
        <v>64.046482742353973</v>
      </c>
      <c r="W37" s="241">
        <f t="shared" si="9"/>
        <v>159</v>
      </c>
      <c r="X37" s="241" t="str">
        <f t="shared" si="6"/>
        <v/>
      </c>
      <c r="Y37" s="241">
        <f t="shared" si="7"/>
        <v>0</v>
      </c>
      <c r="Z37" s="241" t="str">
        <f t="shared" si="8"/>
        <v/>
      </c>
      <c r="AB37" s="241" t="s">
        <v>883</v>
      </c>
    </row>
    <row r="38" spans="1:28" ht="51.75" x14ac:dyDescent="0.25">
      <c r="A38" s="241" t="str">
        <f t="shared" si="4"/>
        <v/>
      </c>
      <c r="B38" s="241" t="s">
        <v>830</v>
      </c>
      <c r="D38" s="241">
        <v>0.13</v>
      </c>
      <c r="E38" s="241">
        <f t="shared" si="5"/>
        <v>0.13</v>
      </c>
      <c r="G38" s="337">
        <v>66</v>
      </c>
      <c r="H38" s="241">
        <f t="shared" si="0"/>
        <v>66</v>
      </c>
      <c r="J38" s="241">
        <v>45</v>
      </c>
      <c r="K38" s="241">
        <f t="shared" si="1"/>
        <v>45</v>
      </c>
      <c r="L38" s="241">
        <v>0.5</v>
      </c>
      <c r="M38" s="241">
        <v>-82</v>
      </c>
      <c r="N38" s="130" t="s">
        <v>655</v>
      </c>
      <c r="O38" s="130"/>
      <c r="P38" s="130"/>
      <c r="Q38" s="241">
        <f>IF(H38&lt;60,'Berechnung-WÜ-Material'!$AL$110,IF(AND(H38&gt;=60,H38&lt;80),'Berechnung-WÜ-Material'!$AM$110,IF(AND('Daten-Materialien'!H38&gt;=80,'Daten-Materialien'!H38&lt;100),'Berechnung-WÜ-Material'!$AN$110,IF(AND(H38&gt;=100,H38&lt;120),'Berechnung-WÜ-Material'!$AO$110,IF(AND('Daten-Materialien'!H38&gt;=120,'Daten-Materialien'!H38&lt;140),'Berechnung-WÜ-Material'!$AP$110,IF('Daten-Materialien'!H38&gt;140,'Berechnung-WÜ-Material'!$AQ$110,"FEHLER"))))))</f>
        <v>1.4830749679207913</v>
      </c>
      <c r="R38" s="241">
        <f>IF(E38&lt;0.1,'Berechnung-WÜ-Material'!$AS$110,IF(AND(E38&gt;=0.1,E38&lt;0.3),'Berechnung-WÜ-Material'!$AT$110,IF(AND('Daten-Materialien'!E38&gt;=0.3,'Daten-Materialien'!E38&lt;0.6),'Berechnung-WÜ-Material'!$AU$110,IF(AND(E38&gt;=0.6,E38&lt;1),'Berechnung-WÜ-Material'!$AV$110,IF(AND('Daten-Materialien'!E38&gt;=1,'Daten-Materialien'!E38&lt;1.5),'Berechnung-WÜ-Material'!$AW$110,IF('Daten-Materialien'!E38&gt;1.5,'Berechnung-WÜ-Material'!$AX$110,"FEHLER"))))))</f>
        <v>8.1415883793382715</v>
      </c>
      <c r="S38" s="241">
        <f>IF(K38&lt;15,'Berechnung-WÜ-Material'!$AZ$110,IF(AND(K38&gt;=15,K38&lt;30),'Berechnung-WÜ-Material'!$BA$110,IF(AND('Daten-Materialien'!K38&gt;=30,'Daten-Materialien'!K38&lt;45),'Berechnung-WÜ-Material'!$BB$110,IF(AND(K38&gt;=45,K38&lt;60),'Berechnung-WÜ-Material'!$BC$110,IF(AND('Daten-Materialien'!K38&gt;=60,'Daten-Materialien'!K38&lt;75),'Berechnung-WÜ-Material'!$BD$110,IF('Daten-Materialien'!K38&gt;75,'Berechnung-WÜ-Material'!$BE$110,"FEHLER"))))))</f>
        <v>2.6681383364247617</v>
      </c>
      <c r="T38" s="241">
        <f>SUM(Q38:S38)+(L38*3*'Berechnung-WÜ-Material'!$G$22)</f>
        <v>13.120911477515671</v>
      </c>
      <c r="U38" s="241">
        <f t="shared" si="2"/>
        <v>37.484857328019906</v>
      </c>
      <c r="V38" s="241">
        <f>100/'Berechnung-WÜ-Material'!$BF$112*'Daten-Materialien'!T38</f>
        <v>64.046482742353973</v>
      </c>
      <c r="W38" s="241">
        <f t="shared" si="9"/>
        <v>159</v>
      </c>
      <c r="X38" s="241" t="str">
        <f t="shared" si="6"/>
        <v/>
      </c>
      <c r="Y38" s="241">
        <f t="shared" si="7"/>
        <v>0</v>
      </c>
      <c r="Z38" s="241" t="str">
        <f t="shared" si="8"/>
        <v/>
      </c>
      <c r="AB38" s="241" t="s">
        <v>882</v>
      </c>
    </row>
    <row r="39" spans="1:28" ht="39" x14ac:dyDescent="0.25">
      <c r="A39" s="241" t="str">
        <f t="shared" si="4"/>
        <v/>
      </c>
      <c r="B39" s="241" t="s">
        <v>831</v>
      </c>
      <c r="D39" s="241">
        <v>0.13</v>
      </c>
      <c r="E39" s="241">
        <f t="shared" si="5"/>
        <v>0.13</v>
      </c>
      <c r="G39" s="337">
        <v>66</v>
      </c>
      <c r="H39" s="241">
        <f t="shared" si="0"/>
        <v>66</v>
      </c>
      <c r="J39" s="241">
        <v>44</v>
      </c>
      <c r="K39" s="241">
        <f t="shared" si="1"/>
        <v>44</v>
      </c>
      <c r="L39" s="241">
        <v>0.5</v>
      </c>
      <c r="M39" s="241">
        <v>-10</v>
      </c>
      <c r="N39" s="130" t="s">
        <v>656</v>
      </c>
      <c r="O39" s="130"/>
      <c r="P39" s="130"/>
      <c r="Q39" s="241">
        <f>IF(H39&lt;60,'Berechnung-WÜ-Material'!$AL$110,IF(AND(H39&gt;=60,H39&lt;80),'Berechnung-WÜ-Material'!$AM$110,IF(AND('Daten-Materialien'!H39&gt;=80,'Daten-Materialien'!H39&lt;100),'Berechnung-WÜ-Material'!$AN$110,IF(AND(H39&gt;=100,H39&lt;120),'Berechnung-WÜ-Material'!$AO$110,IF(AND('Daten-Materialien'!H39&gt;=120,'Daten-Materialien'!H39&lt;140),'Berechnung-WÜ-Material'!$AP$110,IF('Daten-Materialien'!H39&gt;140,'Berechnung-WÜ-Material'!$AQ$110,"FEHLER"))))))</f>
        <v>1.4830749679207913</v>
      </c>
      <c r="R39" s="241">
        <f>IF(E39&lt;0.1,'Berechnung-WÜ-Material'!$AS$110,IF(AND(E39&gt;=0.1,E39&lt;0.3),'Berechnung-WÜ-Material'!$AT$110,IF(AND('Daten-Materialien'!E39&gt;=0.3,'Daten-Materialien'!E39&lt;0.6),'Berechnung-WÜ-Material'!$AU$110,IF(AND(E39&gt;=0.6,E39&lt;1),'Berechnung-WÜ-Material'!$AV$110,IF(AND('Daten-Materialien'!E39&gt;=1,'Daten-Materialien'!E39&lt;1.5),'Berechnung-WÜ-Material'!$AW$110,IF('Daten-Materialien'!E39&gt;1.5,'Berechnung-WÜ-Material'!$AX$110,"FEHLER"))))))</f>
        <v>8.1415883793382715</v>
      </c>
      <c r="S39" s="241">
        <f>IF(K39&lt;15,'Berechnung-WÜ-Material'!$AZ$110,IF(AND(K39&gt;=15,K39&lt;30),'Berechnung-WÜ-Material'!$BA$110,IF(AND('Daten-Materialien'!K39&gt;=30,'Daten-Materialien'!K39&lt;45),'Berechnung-WÜ-Material'!$BB$110,IF(AND(K39&gt;=45,K39&lt;60),'Berechnung-WÜ-Material'!$BC$110,IF(AND('Daten-Materialien'!K39&gt;=60,'Daten-Materialien'!K39&lt;75),'Berechnung-WÜ-Material'!$BD$110,IF('Daten-Materialien'!K39&gt;75,'Berechnung-WÜ-Material'!$BE$110,"FEHLER"))))))</f>
        <v>5.9436257603083487</v>
      </c>
      <c r="T39" s="241">
        <f>SUM(Q39:S39)+(L39*3*'Berechnung-WÜ-Material'!$G$22)</f>
        <v>16.396398901399259</v>
      </c>
      <c r="U39" s="241">
        <f t="shared" si="2"/>
        <v>49.616292232262964</v>
      </c>
      <c r="V39" s="241">
        <f>100/'Berechnung-WÜ-Material'!$BF$112*'Daten-Materialien'!T39</f>
        <v>80.034964116231691</v>
      </c>
      <c r="W39" s="241">
        <f t="shared" si="9"/>
        <v>37</v>
      </c>
      <c r="X39" s="241" t="str">
        <f t="shared" si="6"/>
        <v/>
      </c>
      <c r="Y39" s="241">
        <f t="shared" si="7"/>
        <v>0</v>
      </c>
      <c r="Z39" s="241" t="str">
        <f t="shared" si="8"/>
        <v/>
      </c>
      <c r="AB39" s="241" t="s">
        <v>848</v>
      </c>
    </row>
    <row r="40" spans="1:28" ht="51.75" x14ac:dyDescent="0.25">
      <c r="A40" s="241" t="str">
        <f t="shared" si="4"/>
        <v/>
      </c>
      <c r="B40" s="241" t="s">
        <v>832</v>
      </c>
      <c r="D40" s="337">
        <v>0.14499999999999999</v>
      </c>
      <c r="E40" s="241">
        <f t="shared" si="5"/>
        <v>0.14499999999999999</v>
      </c>
      <c r="G40" s="337">
        <v>66</v>
      </c>
      <c r="H40" s="241">
        <f t="shared" si="0"/>
        <v>66</v>
      </c>
      <c r="J40" s="337">
        <v>43</v>
      </c>
      <c r="K40" s="241">
        <f t="shared" si="1"/>
        <v>43</v>
      </c>
      <c r="L40" s="241">
        <v>0.5</v>
      </c>
      <c r="M40" s="241">
        <f>95.9-100</f>
        <v>-4.0999999999999943</v>
      </c>
      <c r="N40" s="130" t="s">
        <v>635</v>
      </c>
      <c r="O40" s="130"/>
      <c r="P40" s="130"/>
      <c r="Q40" s="241">
        <f>IF(H40&lt;60,'Berechnung-WÜ-Material'!$AL$110,IF(AND(H40&gt;=60,H40&lt;80),'Berechnung-WÜ-Material'!$AM$110,IF(AND('Daten-Materialien'!H40&gt;=80,'Daten-Materialien'!H40&lt;100),'Berechnung-WÜ-Material'!$AN$110,IF(AND(H40&gt;=100,H40&lt;120),'Berechnung-WÜ-Material'!$AO$110,IF(AND('Daten-Materialien'!H40&gt;=120,'Daten-Materialien'!H40&lt;140),'Berechnung-WÜ-Material'!$AP$110,IF('Daten-Materialien'!H40&gt;140,'Berechnung-WÜ-Material'!$AQ$110,"FEHLER"))))))</f>
        <v>1.4830749679207913</v>
      </c>
      <c r="R40" s="241">
        <f>IF(E40&lt;0.1,'Berechnung-WÜ-Material'!$AS$110,IF(AND(E40&gt;=0.1,E40&lt;0.3),'Berechnung-WÜ-Material'!$AT$110,IF(AND('Daten-Materialien'!E40&gt;=0.3,'Daten-Materialien'!E40&lt;0.6),'Berechnung-WÜ-Material'!$AU$110,IF(AND(E40&gt;=0.6,E40&lt;1),'Berechnung-WÜ-Material'!$AV$110,IF(AND('Daten-Materialien'!E40&gt;=1,'Daten-Materialien'!E40&lt;1.5),'Berechnung-WÜ-Material'!$AW$110,IF('Daten-Materialien'!E40&gt;1.5,'Berechnung-WÜ-Material'!$AX$110,"FEHLER"))))))</f>
        <v>8.1415883793382715</v>
      </c>
      <c r="S40" s="241">
        <f>IF(K40&lt;15,'Berechnung-WÜ-Material'!$AZ$110,IF(AND(K40&gt;=15,K40&lt;30),'Berechnung-WÜ-Material'!$BA$110,IF(AND('Daten-Materialien'!K40&gt;=30,'Daten-Materialien'!K40&lt;45),'Berechnung-WÜ-Material'!$BB$110,IF(AND(K40&gt;=45,K40&lt;60),'Berechnung-WÜ-Material'!$BC$110,IF(AND('Daten-Materialien'!K40&gt;=60,'Daten-Materialien'!K40&lt;75),'Berechnung-WÜ-Material'!$BD$110,IF('Daten-Materialien'!K40&gt;75,'Berechnung-WÜ-Material'!$BE$110,"FEHLER"))))))</f>
        <v>5.9436257603083487</v>
      </c>
      <c r="T40" s="241">
        <f>SUM(Q40:S40)+(L40*3*'Berechnung-WÜ-Material'!$G$22)</f>
        <v>16.396398901399259</v>
      </c>
      <c r="U40" s="241">
        <f t="shared" si="2"/>
        <v>49.616292232262964</v>
      </c>
      <c r="V40" s="241">
        <f>100/'Berechnung-WÜ-Material'!$BF$112*'Daten-Materialien'!T40</f>
        <v>80.034964116231691</v>
      </c>
      <c r="W40" s="241">
        <f t="shared" si="9"/>
        <v>37</v>
      </c>
      <c r="X40" s="241" t="str">
        <f t="shared" si="6"/>
        <v/>
      </c>
      <c r="Y40" s="241">
        <f t="shared" si="7"/>
        <v>0</v>
      </c>
      <c r="Z40" s="241" t="str">
        <f t="shared" si="8"/>
        <v/>
      </c>
      <c r="AB40" s="241" t="s">
        <v>849</v>
      </c>
    </row>
    <row r="41" spans="1:28" ht="26.25" x14ac:dyDescent="0.25">
      <c r="A41" s="241" t="str">
        <f t="shared" si="4"/>
        <v/>
      </c>
      <c r="B41" s="241" t="s">
        <v>833</v>
      </c>
      <c r="D41" s="241">
        <v>0.1</v>
      </c>
      <c r="E41" s="241">
        <f t="shared" si="5"/>
        <v>0.1</v>
      </c>
      <c r="G41" s="337">
        <v>66</v>
      </c>
      <c r="H41" s="241">
        <f t="shared" si="0"/>
        <v>66</v>
      </c>
      <c r="J41" s="337">
        <v>43</v>
      </c>
      <c r="K41" s="241">
        <f t="shared" si="1"/>
        <v>43</v>
      </c>
      <c r="L41" s="241">
        <v>0.5</v>
      </c>
      <c r="M41" s="241">
        <f>-(1.43-1.4)/1.43*100</f>
        <v>-2.0979020979020997</v>
      </c>
      <c r="N41" s="130" t="s">
        <v>631</v>
      </c>
      <c r="O41" s="130"/>
      <c r="P41" s="130"/>
      <c r="Q41" s="241">
        <f>IF(H41&lt;60,'Berechnung-WÜ-Material'!$AL$110,IF(AND(H41&gt;=60,H41&lt;80),'Berechnung-WÜ-Material'!$AM$110,IF(AND('Daten-Materialien'!H41&gt;=80,'Daten-Materialien'!H41&lt;100),'Berechnung-WÜ-Material'!$AN$110,IF(AND(H41&gt;=100,H41&lt;120),'Berechnung-WÜ-Material'!$AO$110,IF(AND('Daten-Materialien'!H41&gt;=120,'Daten-Materialien'!H41&lt;140),'Berechnung-WÜ-Material'!$AP$110,IF('Daten-Materialien'!H41&gt;140,'Berechnung-WÜ-Material'!$AQ$110,"FEHLER"))))))</f>
        <v>1.4830749679207913</v>
      </c>
      <c r="R41" s="241">
        <f>IF(E41&lt;0.1,'Berechnung-WÜ-Material'!$AS$110,IF(AND(E41&gt;=0.1,E41&lt;0.3),'Berechnung-WÜ-Material'!$AT$110,IF(AND('Daten-Materialien'!E41&gt;=0.3,'Daten-Materialien'!E41&lt;0.6),'Berechnung-WÜ-Material'!$AU$110,IF(AND(E41&gt;=0.6,E41&lt;1),'Berechnung-WÜ-Material'!$AV$110,IF(AND('Daten-Materialien'!E41&gt;=1,'Daten-Materialien'!E41&lt;1.5),'Berechnung-WÜ-Material'!$AW$110,IF('Daten-Materialien'!E41&gt;1.5,'Berechnung-WÜ-Material'!$AX$110,"FEHLER"))))))</f>
        <v>8.1415883793382715</v>
      </c>
      <c r="S41" s="241">
        <f>IF(K41&lt;15,'Berechnung-WÜ-Material'!$AZ$110,IF(AND(K41&gt;=15,K41&lt;30),'Berechnung-WÜ-Material'!$BA$110,IF(AND('Daten-Materialien'!K41&gt;=30,'Daten-Materialien'!K41&lt;45),'Berechnung-WÜ-Material'!$BB$110,IF(AND(K41&gt;=45,K41&lt;60),'Berechnung-WÜ-Material'!$BC$110,IF(AND('Daten-Materialien'!K41&gt;=60,'Daten-Materialien'!K41&lt;75),'Berechnung-WÜ-Material'!$BD$110,IF('Daten-Materialien'!K41&gt;75,'Berechnung-WÜ-Material'!$BE$110,"FEHLER"))))))</f>
        <v>5.9436257603083487</v>
      </c>
      <c r="T41" s="241">
        <f>SUM(Q41:S41)+(L41*3*'Berechnung-WÜ-Material'!$G$22)</f>
        <v>16.396398901399259</v>
      </c>
      <c r="U41" s="241">
        <f t="shared" si="2"/>
        <v>49.616292232262964</v>
      </c>
      <c r="V41" s="241">
        <f>100/'Berechnung-WÜ-Material'!$BF$112*'Daten-Materialien'!T41</f>
        <v>80.034964116231691</v>
      </c>
      <c r="W41" s="241">
        <f t="shared" si="9"/>
        <v>37</v>
      </c>
      <c r="X41" s="241" t="str">
        <f t="shared" si="6"/>
        <v/>
      </c>
      <c r="Y41" s="241">
        <f t="shared" si="7"/>
        <v>0</v>
      </c>
      <c r="Z41" s="241" t="str">
        <f t="shared" si="8"/>
        <v/>
      </c>
      <c r="AB41" s="241" t="s">
        <v>834</v>
      </c>
    </row>
    <row r="42" spans="1:28" ht="51.75" customHeight="1" x14ac:dyDescent="0.25">
      <c r="A42" s="241" t="str">
        <f t="shared" si="4"/>
        <v/>
      </c>
      <c r="B42" s="241" t="s">
        <v>834</v>
      </c>
      <c r="D42" s="241">
        <v>0.03</v>
      </c>
      <c r="E42" s="241">
        <f t="shared" si="5"/>
        <v>0.03</v>
      </c>
      <c r="G42" s="337">
        <v>66</v>
      </c>
      <c r="H42" s="241">
        <f t="shared" si="0"/>
        <v>66</v>
      </c>
      <c r="J42" s="337">
        <v>43</v>
      </c>
      <c r="K42" s="241">
        <f t="shared" si="1"/>
        <v>43</v>
      </c>
      <c r="L42" s="241">
        <v>0.5</v>
      </c>
      <c r="M42" s="241">
        <v>-40</v>
      </c>
      <c r="N42" s="130" t="s">
        <v>657</v>
      </c>
      <c r="O42" s="130"/>
      <c r="P42" s="130"/>
      <c r="Q42" s="241">
        <f>IF(H42&lt;60,'Berechnung-WÜ-Material'!$AL$110,IF(AND(H42&gt;=60,H42&lt;80),'Berechnung-WÜ-Material'!$AM$110,IF(AND('Daten-Materialien'!H42&gt;=80,'Daten-Materialien'!H42&lt;100),'Berechnung-WÜ-Material'!$AN$110,IF(AND(H42&gt;=100,H42&lt;120),'Berechnung-WÜ-Material'!$AO$110,IF(AND('Daten-Materialien'!H42&gt;=120,'Daten-Materialien'!H42&lt;140),'Berechnung-WÜ-Material'!$AP$110,IF('Daten-Materialien'!H42&gt;140,'Berechnung-WÜ-Material'!$AQ$110,"FEHLER"))))))</f>
        <v>1.4830749679207913</v>
      </c>
      <c r="R42" s="241">
        <f>IF(E42&lt;0.1,'Berechnung-WÜ-Material'!$AS$110,IF(AND(E42&gt;=0.1,E42&lt;0.3),'Berechnung-WÜ-Material'!$AT$110,IF(AND('Daten-Materialien'!E42&gt;=0.3,'Daten-Materialien'!E42&lt;0.6),'Berechnung-WÜ-Material'!$AU$110,IF(AND(E42&gt;=0.6,E42&lt;1),'Berechnung-WÜ-Material'!$AV$110,IF(AND('Daten-Materialien'!E42&gt;=1,'Daten-Materialien'!E42&lt;1.5),'Berechnung-WÜ-Material'!$AW$110,IF('Daten-Materialien'!E42&gt;1.5,'Berechnung-WÜ-Material'!$AX$110,"FEHLER"))))))</f>
        <v>5.4090960472347849</v>
      </c>
      <c r="S42" s="241">
        <f>IF(K42&lt;15,'Berechnung-WÜ-Material'!$AZ$110,IF(AND(K42&gt;=15,K42&lt;30),'Berechnung-WÜ-Material'!$BA$110,IF(AND('Daten-Materialien'!K42&gt;=30,'Daten-Materialien'!K42&lt;45),'Berechnung-WÜ-Material'!$BB$110,IF(AND(K42&gt;=45,K42&lt;60),'Berechnung-WÜ-Material'!$BC$110,IF(AND('Daten-Materialien'!K42&gt;=60,'Daten-Materialien'!K42&lt;75),'Berechnung-WÜ-Material'!$BD$110,IF('Daten-Materialien'!K42&gt;75,'Berechnung-WÜ-Material'!$BE$110,"FEHLER"))))))</f>
        <v>5.9436257603083487</v>
      </c>
      <c r="T42" s="241">
        <f>SUM(Q42:S42)+(L42*3*'Berechnung-WÜ-Material'!$G$22)</f>
        <v>13.663906569295772</v>
      </c>
      <c r="U42" s="241">
        <f t="shared" si="2"/>
        <v>39.495950260699686</v>
      </c>
      <c r="V42" s="241">
        <f>100/'Berechnung-WÜ-Material'!$BF$112*'Daten-Materialien'!T42</f>
        <v>66.696978924305341</v>
      </c>
      <c r="W42" s="241">
        <f t="shared" si="9"/>
        <v>149</v>
      </c>
      <c r="X42" s="241" t="str">
        <f t="shared" si="6"/>
        <v/>
      </c>
      <c r="Y42" s="241">
        <f t="shared" si="7"/>
        <v>0</v>
      </c>
      <c r="Z42" s="241" t="str">
        <f t="shared" si="8"/>
        <v/>
      </c>
      <c r="AB42" s="241" t="s">
        <v>835</v>
      </c>
    </row>
    <row r="43" spans="1:28" ht="51.75" x14ac:dyDescent="0.25">
      <c r="A43" s="241" t="str">
        <f t="shared" si="4"/>
        <v/>
      </c>
      <c r="B43" s="241" t="s">
        <v>835</v>
      </c>
      <c r="D43" s="241">
        <v>0.03</v>
      </c>
      <c r="E43" s="241">
        <f t="shared" si="5"/>
        <v>0.03</v>
      </c>
      <c r="G43" s="337">
        <v>66</v>
      </c>
      <c r="H43" s="241">
        <f t="shared" si="0"/>
        <v>66</v>
      </c>
      <c r="J43" s="337">
        <v>43</v>
      </c>
      <c r="K43" s="241">
        <f t="shared" si="1"/>
        <v>43</v>
      </c>
      <c r="L43" s="241">
        <v>0.5</v>
      </c>
      <c r="M43" s="241">
        <v>-25</v>
      </c>
      <c r="N43" s="130" t="s">
        <v>657</v>
      </c>
      <c r="O43" s="130"/>
      <c r="P43" s="130"/>
      <c r="Q43" s="241">
        <f>IF(H43&lt;60,'Berechnung-WÜ-Material'!$AL$110,IF(AND(H43&gt;=60,H43&lt;80),'Berechnung-WÜ-Material'!$AM$110,IF(AND('Daten-Materialien'!H43&gt;=80,'Daten-Materialien'!H43&lt;100),'Berechnung-WÜ-Material'!$AN$110,IF(AND(H43&gt;=100,H43&lt;120),'Berechnung-WÜ-Material'!$AO$110,IF(AND('Daten-Materialien'!H43&gt;=120,'Daten-Materialien'!H43&lt;140),'Berechnung-WÜ-Material'!$AP$110,IF('Daten-Materialien'!H43&gt;140,'Berechnung-WÜ-Material'!$AQ$110,"FEHLER"))))))</f>
        <v>1.4830749679207913</v>
      </c>
      <c r="R43" s="241">
        <f>IF(E43&lt;0.1,'Berechnung-WÜ-Material'!$AS$110,IF(AND(E43&gt;=0.1,E43&lt;0.3),'Berechnung-WÜ-Material'!$AT$110,IF(AND('Daten-Materialien'!E43&gt;=0.3,'Daten-Materialien'!E43&lt;0.6),'Berechnung-WÜ-Material'!$AU$110,IF(AND(E43&gt;=0.6,E43&lt;1),'Berechnung-WÜ-Material'!$AV$110,IF(AND('Daten-Materialien'!E43&gt;=1,'Daten-Materialien'!E43&lt;1.5),'Berechnung-WÜ-Material'!$AW$110,IF('Daten-Materialien'!E43&gt;1.5,'Berechnung-WÜ-Material'!$AX$110,"FEHLER"))))))</f>
        <v>5.4090960472347849</v>
      </c>
      <c r="S43" s="241">
        <f>IF(K43&lt;15,'Berechnung-WÜ-Material'!$AZ$110,IF(AND(K43&gt;=15,K43&lt;30),'Berechnung-WÜ-Material'!$BA$110,IF(AND('Daten-Materialien'!K43&gt;=30,'Daten-Materialien'!K43&lt;45),'Berechnung-WÜ-Material'!$BB$110,IF(AND(K43&gt;=45,K43&lt;60),'Berechnung-WÜ-Material'!$BC$110,IF(AND('Daten-Materialien'!K43&gt;=60,'Daten-Materialien'!K43&lt;75),'Berechnung-WÜ-Material'!$BD$110,IF('Daten-Materialien'!K43&gt;75,'Berechnung-WÜ-Material'!$BE$110,"FEHLER"))))))</f>
        <v>5.9436257603083487</v>
      </c>
      <c r="T43" s="241">
        <f>SUM(Q43:S43)+(L43*3*'Berechnung-WÜ-Material'!$G$22)</f>
        <v>13.663906569295772</v>
      </c>
      <c r="U43" s="241">
        <f t="shared" si="2"/>
        <v>39.495950260699686</v>
      </c>
      <c r="V43" s="241">
        <f>100/'Berechnung-WÜ-Material'!$BF$112*'Daten-Materialien'!T43</f>
        <v>66.696978924305341</v>
      </c>
      <c r="W43" s="241">
        <f t="shared" si="9"/>
        <v>149</v>
      </c>
      <c r="X43" s="241" t="str">
        <f t="shared" si="6"/>
        <v/>
      </c>
      <c r="Y43" s="241">
        <f t="shared" si="7"/>
        <v>0</v>
      </c>
      <c r="Z43" s="241" t="str">
        <f t="shared" si="8"/>
        <v/>
      </c>
      <c r="AB43" s="241" t="s">
        <v>832</v>
      </c>
    </row>
    <row r="44" spans="1:28" ht="51.75" x14ac:dyDescent="0.25">
      <c r="A44" s="241" t="str">
        <f t="shared" si="4"/>
        <v/>
      </c>
      <c r="B44" s="241" t="s">
        <v>836</v>
      </c>
      <c r="D44" s="340">
        <v>0.36</v>
      </c>
      <c r="E44" s="241">
        <f t="shared" si="5"/>
        <v>0.36</v>
      </c>
      <c r="G44" s="241">
        <v>35</v>
      </c>
      <c r="H44" s="241">
        <f t="shared" si="0"/>
        <v>35</v>
      </c>
      <c r="J44" s="241">
        <v>24</v>
      </c>
      <c r="K44" s="241">
        <f t="shared" si="1"/>
        <v>24</v>
      </c>
      <c r="L44" s="241">
        <v>0</v>
      </c>
      <c r="M44" s="241">
        <f>(4.8-5.5)/5.5*100</f>
        <v>-12.727272727272732</v>
      </c>
      <c r="N44" s="130" t="s">
        <v>652</v>
      </c>
      <c r="O44" s="130"/>
      <c r="P44" s="130"/>
      <c r="Q44" s="241">
        <f>IF(H44&lt;60,'Berechnung-WÜ-Material'!$AL$110,IF(AND(H44&gt;=60,H44&lt;80),'Berechnung-WÜ-Material'!$AM$110,IF(AND('Daten-Materialien'!H44&gt;=80,'Daten-Materialien'!H44&lt;100),'Berechnung-WÜ-Material'!$AN$110,IF(AND(H44&gt;=100,H44&lt;120),'Berechnung-WÜ-Material'!$AO$110,IF(AND('Daten-Materialien'!H44&gt;=120,'Daten-Materialien'!H44&lt;140),'Berechnung-WÜ-Material'!$AP$110,IF('Daten-Materialien'!H44&gt;140,'Berechnung-WÜ-Material'!$AQ$110,"FEHLER"))))))</f>
        <v>2.2063369805171464</v>
      </c>
      <c r="R44" s="241">
        <f>IF(E44&lt;0.1,'Berechnung-WÜ-Material'!$AS$110,IF(AND(E44&gt;=0.1,E44&lt;0.3),'Berechnung-WÜ-Material'!$AT$110,IF(AND('Daten-Materialien'!E44&gt;=0.3,'Daten-Materialien'!E44&lt;0.6),'Berechnung-WÜ-Material'!$AU$110,IF(AND(E44&gt;=0.6,E44&lt;1),'Berechnung-WÜ-Material'!$AV$110,IF(AND('Daten-Materialien'!E44&gt;=1,'Daten-Materialien'!E44&lt;1.5),'Berechnung-WÜ-Material'!$AW$110,IF('Daten-Materialien'!E44&gt;1.5,'Berechnung-WÜ-Material'!$AX$110,"FEHLER"))))))</f>
        <v>7.4603395508911365</v>
      </c>
      <c r="S44" s="241">
        <f>IF(K44&lt;15,'Berechnung-WÜ-Material'!$AZ$110,IF(AND(K44&gt;=15,K44&lt;30),'Berechnung-WÜ-Material'!$BA$110,IF(AND('Daten-Materialien'!K44&gt;=30,'Daten-Materialien'!K44&lt;45),'Berechnung-WÜ-Material'!$BB$110,IF(AND(K44&gt;=45,K44&lt;60),'Berechnung-WÜ-Material'!$BC$110,IF(AND('Daten-Materialien'!K44&gt;=60,'Daten-Materialien'!K44&lt;75),'Berechnung-WÜ-Material'!$BD$110,IF('Daten-Materialien'!K44&gt;75,'Berechnung-WÜ-Material'!$BE$110,"FEHLER"))))))</f>
        <v>5.3164008462907759</v>
      </c>
      <c r="T44" s="241">
        <f>SUM(Q44:S44)+(L44*3*'Berechnung-WÜ-Material'!$G$22)</f>
        <v>14.983077377699059</v>
      </c>
      <c r="U44" s="241">
        <f t="shared" si="2"/>
        <v>44.381768069991615</v>
      </c>
      <c r="V44" s="241">
        <f>100/'Berechnung-WÜ-Material'!$BF$112*'Daten-Materialien'!T44</f>
        <v>73.136184810222602</v>
      </c>
      <c r="W44" s="241">
        <f t="shared" si="9"/>
        <v>99</v>
      </c>
      <c r="X44" s="241" t="str">
        <f t="shared" si="6"/>
        <v/>
      </c>
      <c r="Y44" s="241">
        <f t="shared" si="7"/>
        <v>0</v>
      </c>
      <c r="Z44" s="241" t="str">
        <f t="shared" si="8"/>
        <v/>
      </c>
      <c r="AB44" s="241" t="s">
        <v>862</v>
      </c>
    </row>
    <row r="45" spans="1:28" ht="39" x14ac:dyDescent="0.25">
      <c r="A45" s="241" t="str">
        <f t="shared" si="4"/>
        <v/>
      </c>
      <c r="B45" s="241" t="s">
        <v>837</v>
      </c>
      <c r="D45" s="340">
        <v>0.36</v>
      </c>
      <c r="E45" s="241">
        <f t="shared" si="5"/>
        <v>0.36</v>
      </c>
      <c r="G45" s="241">
        <v>37</v>
      </c>
      <c r="H45" s="241">
        <f t="shared" si="0"/>
        <v>37</v>
      </c>
      <c r="J45" s="241">
        <v>26</v>
      </c>
      <c r="K45" s="241">
        <f t="shared" si="1"/>
        <v>26</v>
      </c>
      <c r="L45" s="241">
        <v>0</v>
      </c>
      <c r="M45" s="241">
        <f>AVERAGE(-0.66666,-1)*100</f>
        <v>-83.332999999999998</v>
      </c>
      <c r="N45" s="130" t="s">
        <v>658</v>
      </c>
      <c r="O45" s="130"/>
      <c r="P45" s="130"/>
      <c r="Q45" s="241">
        <f>IF(H45&lt;60,'Berechnung-WÜ-Material'!$AL$110,IF(AND(H45&gt;=60,H45&lt;80),'Berechnung-WÜ-Material'!$AM$110,IF(AND('Daten-Materialien'!H45&gt;=80,'Daten-Materialien'!H45&lt;100),'Berechnung-WÜ-Material'!$AN$110,IF(AND(H45&gt;=100,H45&lt;120),'Berechnung-WÜ-Material'!$AO$110,IF(AND('Daten-Materialien'!H45&gt;=120,'Daten-Materialien'!H45&lt;140),'Berechnung-WÜ-Material'!$AP$110,IF('Daten-Materialien'!H45&gt;140,'Berechnung-WÜ-Material'!$AQ$110,"FEHLER"))))))</f>
        <v>2.2063369805171464</v>
      </c>
      <c r="R45" s="241">
        <f>IF(E45&lt;0.1,'Berechnung-WÜ-Material'!$AS$110,IF(AND(E45&gt;=0.1,E45&lt;0.3),'Berechnung-WÜ-Material'!$AT$110,IF(AND('Daten-Materialien'!E45&gt;=0.3,'Daten-Materialien'!E45&lt;0.6),'Berechnung-WÜ-Material'!$AU$110,IF(AND(E45&gt;=0.6,E45&lt;1),'Berechnung-WÜ-Material'!$AV$110,IF(AND('Daten-Materialien'!E45&gt;=1,'Daten-Materialien'!E45&lt;1.5),'Berechnung-WÜ-Material'!$AW$110,IF('Daten-Materialien'!E45&gt;1.5,'Berechnung-WÜ-Material'!$AX$110,"FEHLER"))))))</f>
        <v>7.4603395508911365</v>
      </c>
      <c r="S45" s="241">
        <f>IF(K45&lt;15,'Berechnung-WÜ-Material'!$AZ$110,IF(AND(K45&gt;=15,K45&lt;30),'Berechnung-WÜ-Material'!$BA$110,IF(AND('Daten-Materialien'!K45&gt;=30,'Daten-Materialien'!K45&lt;45),'Berechnung-WÜ-Material'!$BB$110,IF(AND(K45&gt;=45,K45&lt;60),'Berechnung-WÜ-Material'!$BC$110,IF(AND('Daten-Materialien'!K45&gt;=60,'Daten-Materialien'!K45&lt;75),'Berechnung-WÜ-Material'!$BD$110,IF('Daten-Materialien'!K45&gt;75,'Berechnung-WÜ-Material'!$BE$110,"FEHLER"))))))</f>
        <v>5.3164008462907759</v>
      </c>
      <c r="T45" s="241">
        <f>SUM(Q45:S45)+(L45*3*'Berechnung-WÜ-Material'!$G$22)</f>
        <v>14.983077377699059</v>
      </c>
      <c r="U45" s="241">
        <f t="shared" si="2"/>
        <v>44.381768069991615</v>
      </c>
      <c r="V45" s="241">
        <f>100/'Berechnung-WÜ-Material'!$BF$112*'Daten-Materialien'!T45</f>
        <v>73.136184810222602</v>
      </c>
      <c r="W45" s="241">
        <f t="shared" si="9"/>
        <v>99</v>
      </c>
      <c r="X45" s="241" t="str">
        <f t="shared" si="6"/>
        <v/>
      </c>
      <c r="Y45" s="241">
        <f t="shared" si="7"/>
        <v>0</v>
      </c>
      <c r="Z45" s="241" t="str">
        <f t="shared" si="8"/>
        <v/>
      </c>
      <c r="AB45" s="241" t="s">
        <v>833</v>
      </c>
    </row>
    <row r="46" spans="1:28" ht="39" x14ac:dyDescent="0.25">
      <c r="A46" s="241" t="str">
        <f t="shared" si="4"/>
        <v/>
      </c>
      <c r="B46" s="241" t="s">
        <v>838</v>
      </c>
      <c r="D46" s="340">
        <v>0.36</v>
      </c>
      <c r="E46" s="241">
        <f t="shared" si="5"/>
        <v>0.36</v>
      </c>
      <c r="G46" s="241">
        <v>35</v>
      </c>
      <c r="H46" s="241">
        <f t="shared" si="0"/>
        <v>35</v>
      </c>
      <c r="J46" s="241">
        <v>24</v>
      </c>
      <c r="K46" s="241">
        <f t="shared" si="1"/>
        <v>24</v>
      </c>
      <c r="L46" s="241">
        <v>0</v>
      </c>
      <c r="M46" s="241">
        <f>AVERAGE(-0.66666,-1)*100</f>
        <v>-83.332999999999998</v>
      </c>
      <c r="N46" s="130" t="s">
        <v>658</v>
      </c>
      <c r="O46" s="130"/>
      <c r="P46" s="130"/>
      <c r="Q46" s="241">
        <f>IF(H46&lt;60,'Berechnung-WÜ-Material'!$AL$110,IF(AND(H46&gt;=60,H46&lt;80),'Berechnung-WÜ-Material'!$AM$110,IF(AND('Daten-Materialien'!H46&gt;=80,'Daten-Materialien'!H46&lt;100),'Berechnung-WÜ-Material'!$AN$110,IF(AND(H46&gt;=100,H46&lt;120),'Berechnung-WÜ-Material'!$AO$110,IF(AND('Daten-Materialien'!H46&gt;=120,'Daten-Materialien'!H46&lt;140),'Berechnung-WÜ-Material'!$AP$110,IF('Daten-Materialien'!H46&gt;140,'Berechnung-WÜ-Material'!$AQ$110,"FEHLER"))))))</f>
        <v>2.2063369805171464</v>
      </c>
      <c r="R46" s="241">
        <f>IF(E46&lt;0.1,'Berechnung-WÜ-Material'!$AS$110,IF(AND(E46&gt;=0.1,E46&lt;0.3),'Berechnung-WÜ-Material'!$AT$110,IF(AND('Daten-Materialien'!E46&gt;=0.3,'Daten-Materialien'!E46&lt;0.6),'Berechnung-WÜ-Material'!$AU$110,IF(AND(E46&gt;=0.6,E46&lt;1),'Berechnung-WÜ-Material'!$AV$110,IF(AND('Daten-Materialien'!E46&gt;=1,'Daten-Materialien'!E46&lt;1.5),'Berechnung-WÜ-Material'!$AW$110,IF('Daten-Materialien'!E46&gt;1.5,'Berechnung-WÜ-Material'!$AX$110,"FEHLER"))))))</f>
        <v>7.4603395508911365</v>
      </c>
      <c r="S46" s="241">
        <f>IF(K46&lt;15,'Berechnung-WÜ-Material'!$AZ$110,IF(AND(K46&gt;=15,K46&lt;30),'Berechnung-WÜ-Material'!$BA$110,IF(AND('Daten-Materialien'!K46&gt;=30,'Daten-Materialien'!K46&lt;45),'Berechnung-WÜ-Material'!$BB$110,IF(AND(K46&gt;=45,K46&lt;60),'Berechnung-WÜ-Material'!$BC$110,IF(AND('Daten-Materialien'!K46&gt;=60,'Daten-Materialien'!K46&lt;75),'Berechnung-WÜ-Material'!$BD$110,IF('Daten-Materialien'!K46&gt;75,'Berechnung-WÜ-Material'!$BE$110,"FEHLER"))))))</f>
        <v>5.3164008462907759</v>
      </c>
      <c r="T46" s="241">
        <f>SUM(Q46:S46)+(L46*3*'Berechnung-WÜ-Material'!$G$22)</f>
        <v>14.983077377699059</v>
      </c>
      <c r="U46" s="241">
        <f t="shared" si="2"/>
        <v>44.381768069991615</v>
      </c>
      <c r="V46" s="241">
        <f>100/'Berechnung-WÜ-Material'!$BF$112*'Daten-Materialien'!T46</f>
        <v>73.136184810222602</v>
      </c>
      <c r="W46" s="241">
        <f t="shared" si="9"/>
        <v>99</v>
      </c>
      <c r="X46" s="241" t="str">
        <f t="shared" si="6"/>
        <v/>
      </c>
      <c r="Y46" s="241">
        <f t="shared" si="7"/>
        <v>0</v>
      </c>
      <c r="Z46" s="241" t="str">
        <f t="shared" si="8"/>
        <v/>
      </c>
      <c r="AB46" s="241" t="s">
        <v>879</v>
      </c>
    </row>
    <row r="47" spans="1:28" ht="51" customHeight="1" x14ac:dyDescent="0.2">
      <c r="A47" s="241" t="str">
        <f t="shared" si="4"/>
        <v/>
      </c>
      <c r="B47" s="241" t="s">
        <v>839</v>
      </c>
      <c r="D47" s="241">
        <v>0.12</v>
      </c>
      <c r="E47" s="241">
        <f t="shared" si="5"/>
        <v>0.12</v>
      </c>
      <c r="G47" s="241">
        <v>46</v>
      </c>
      <c r="H47" s="241">
        <f t="shared" si="0"/>
        <v>46</v>
      </c>
      <c r="J47" s="241">
        <v>40</v>
      </c>
      <c r="K47" s="241">
        <f t="shared" si="1"/>
        <v>40</v>
      </c>
      <c r="L47" s="241">
        <v>0</v>
      </c>
      <c r="M47" s="241">
        <v>-78</v>
      </c>
      <c r="N47" s="130" t="s">
        <v>655</v>
      </c>
      <c r="O47" s="130"/>
      <c r="P47" s="130"/>
      <c r="Q47" s="241">
        <f>IF(H47&lt;60,'Berechnung-WÜ-Material'!$AL$110,IF(AND(H47&gt;=60,H47&lt;80),'Berechnung-WÜ-Material'!$AM$110,IF(AND('Daten-Materialien'!H47&gt;=80,'Daten-Materialien'!H47&lt;100),'Berechnung-WÜ-Material'!$AN$110,IF(AND(H47&gt;=100,H47&lt;120),'Berechnung-WÜ-Material'!$AO$110,IF(AND('Daten-Materialien'!H47&gt;=120,'Daten-Materialien'!H47&lt;140),'Berechnung-WÜ-Material'!$AP$110,IF('Daten-Materialien'!H47&gt;140,'Berechnung-WÜ-Material'!$AQ$110,"FEHLER"))))))</f>
        <v>2.2063369805171464</v>
      </c>
      <c r="R47" s="241">
        <f>IF(E47&lt;0.1,'Berechnung-WÜ-Material'!$AS$110,IF(AND(E47&gt;=0.1,E47&lt;0.3),'Berechnung-WÜ-Material'!$AT$110,IF(AND('Daten-Materialien'!E47&gt;=0.3,'Daten-Materialien'!E47&lt;0.6),'Berechnung-WÜ-Material'!$AU$110,IF(AND(E47&gt;=0.6,E47&lt;1),'Berechnung-WÜ-Material'!$AV$110,IF(AND('Daten-Materialien'!E47&gt;=1,'Daten-Materialien'!E47&lt;1.5),'Berechnung-WÜ-Material'!$AW$110,IF('Daten-Materialien'!E47&gt;1.5,'Berechnung-WÜ-Material'!$AX$110,"FEHLER"))))))</f>
        <v>8.1415883793382715</v>
      </c>
      <c r="S47" s="241">
        <f>IF(K47&lt;15,'Berechnung-WÜ-Material'!$AZ$110,IF(AND(K47&gt;=15,K47&lt;30),'Berechnung-WÜ-Material'!$BA$110,IF(AND('Daten-Materialien'!K47&gt;=30,'Daten-Materialien'!K47&lt;45),'Berechnung-WÜ-Material'!$BB$110,IF(AND(K47&gt;=45,K47&lt;60),'Berechnung-WÜ-Material'!$BC$110,IF(AND('Daten-Materialien'!K47&gt;=60,'Daten-Materialien'!K47&lt;75),'Berechnung-WÜ-Material'!$BD$110,IF('Daten-Materialien'!K47&gt;75,'Berechnung-WÜ-Material'!$BE$110,"FEHLER"))))))</f>
        <v>5.9436257603083487</v>
      </c>
      <c r="T47" s="241">
        <f>SUM(Q47:S47)+(L47*3*'Berechnung-WÜ-Material'!$G$22)</f>
        <v>16.291551120163767</v>
      </c>
      <c r="U47" s="241">
        <f t="shared" si="2"/>
        <v>49.227967116544896</v>
      </c>
      <c r="V47" s="241">
        <f>100/'Berechnung-WÜ-Material'!$BF$112*'Daten-Materialien'!T47</f>
        <v>79.523175615640071</v>
      </c>
      <c r="W47" s="241">
        <f t="shared" si="9"/>
        <v>53</v>
      </c>
      <c r="X47" s="241" t="str">
        <f t="shared" si="6"/>
        <v/>
      </c>
      <c r="Y47" s="241">
        <f t="shared" si="7"/>
        <v>0</v>
      </c>
      <c r="Z47" s="241" t="str">
        <f t="shared" si="8"/>
        <v/>
      </c>
      <c r="AB47" s="241" t="s">
        <v>876</v>
      </c>
    </row>
    <row r="48" spans="1:28" ht="51" customHeight="1" x14ac:dyDescent="0.2">
      <c r="A48" s="241" t="str">
        <f t="shared" si="4"/>
        <v/>
      </c>
      <c r="B48" s="241" t="s">
        <v>840</v>
      </c>
      <c r="D48" s="241">
        <v>0.23</v>
      </c>
      <c r="E48" s="241">
        <f t="shared" si="5"/>
        <v>0.23</v>
      </c>
      <c r="G48" s="241">
        <v>47</v>
      </c>
      <c r="H48" s="241">
        <f t="shared" si="0"/>
        <v>47</v>
      </c>
      <c r="J48" s="241">
        <v>42</v>
      </c>
      <c r="K48" s="241">
        <f t="shared" si="1"/>
        <v>42</v>
      </c>
      <c r="L48" s="241">
        <v>0</v>
      </c>
      <c r="M48" s="241">
        <v>-90</v>
      </c>
      <c r="N48" s="130" t="s">
        <v>654</v>
      </c>
      <c r="O48" s="130"/>
      <c r="P48" s="130"/>
      <c r="Q48" s="241">
        <f>IF(H48&lt;60,'Berechnung-WÜ-Material'!$AL$110,IF(AND(H48&gt;=60,H48&lt;80),'Berechnung-WÜ-Material'!$AM$110,IF(AND('Daten-Materialien'!H48&gt;=80,'Daten-Materialien'!H48&lt;100),'Berechnung-WÜ-Material'!$AN$110,IF(AND(H48&gt;=100,H48&lt;120),'Berechnung-WÜ-Material'!$AO$110,IF(AND('Daten-Materialien'!H48&gt;=120,'Daten-Materialien'!H48&lt;140),'Berechnung-WÜ-Material'!$AP$110,IF('Daten-Materialien'!H48&gt;140,'Berechnung-WÜ-Material'!$AQ$110,"FEHLER"))))))</f>
        <v>2.2063369805171464</v>
      </c>
      <c r="R48" s="241">
        <f>IF(E48&lt;0.1,'Berechnung-WÜ-Material'!$AS$110,IF(AND(E48&gt;=0.1,E48&lt;0.3),'Berechnung-WÜ-Material'!$AT$110,IF(AND('Daten-Materialien'!E48&gt;=0.3,'Daten-Materialien'!E48&lt;0.6),'Berechnung-WÜ-Material'!$AU$110,IF(AND(E48&gt;=0.6,E48&lt;1),'Berechnung-WÜ-Material'!$AV$110,IF(AND('Daten-Materialien'!E48&gt;=1,'Daten-Materialien'!E48&lt;1.5),'Berechnung-WÜ-Material'!$AW$110,IF('Daten-Materialien'!E48&gt;1.5,'Berechnung-WÜ-Material'!$AX$110,"FEHLER"))))))</f>
        <v>8.1415883793382715</v>
      </c>
      <c r="S48" s="241">
        <f>IF(K48&lt;15,'Berechnung-WÜ-Material'!$AZ$110,IF(AND(K48&gt;=15,K48&lt;30),'Berechnung-WÜ-Material'!$BA$110,IF(AND('Daten-Materialien'!K48&gt;=30,'Daten-Materialien'!K48&lt;45),'Berechnung-WÜ-Material'!$BB$110,IF(AND(K48&gt;=45,K48&lt;60),'Berechnung-WÜ-Material'!$BC$110,IF(AND('Daten-Materialien'!K48&gt;=60,'Daten-Materialien'!K48&lt;75),'Berechnung-WÜ-Material'!$BD$110,IF('Daten-Materialien'!K48&gt;75,'Berechnung-WÜ-Material'!$BE$110,"FEHLER"))))))</f>
        <v>5.9436257603083487</v>
      </c>
      <c r="T48" s="241">
        <f>SUM(Q48:S48)+(L48*3*'Berechnung-WÜ-Material'!$G$22)</f>
        <v>16.291551120163767</v>
      </c>
      <c r="U48" s="241">
        <f t="shared" si="2"/>
        <v>49.227967116544896</v>
      </c>
      <c r="V48" s="241">
        <f>100/'Berechnung-WÜ-Material'!$BF$112*'Daten-Materialien'!T48</f>
        <v>79.523175615640071</v>
      </c>
      <c r="W48" s="241">
        <f t="shared" si="9"/>
        <v>53</v>
      </c>
      <c r="X48" s="241" t="str">
        <f t="shared" si="6"/>
        <v/>
      </c>
      <c r="Y48" s="241">
        <f t="shared" si="7"/>
        <v>0</v>
      </c>
      <c r="Z48" s="241" t="str">
        <f t="shared" si="8"/>
        <v/>
      </c>
      <c r="AB48" s="241" t="s">
        <v>831</v>
      </c>
    </row>
    <row r="49" spans="1:28" ht="38.25" customHeight="1" x14ac:dyDescent="0.2">
      <c r="A49" s="241" t="str">
        <f t="shared" si="4"/>
        <v/>
      </c>
      <c r="B49" s="241" t="s">
        <v>841</v>
      </c>
      <c r="D49" s="241">
        <v>0.14000000000000001</v>
      </c>
      <c r="E49" s="241">
        <f t="shared" si="5"/>
        <v>0.14000000000000001</v>
      </c>
      <c r="G49" s="241">
        <v>35</v>
      </c>
      <c r="H49" s="241">
        <f t="shared" si="0"/>
        <v>35</v>
      </c>
      <c r="J49" s="241">
        <v>34</v>
      </c>
      <c r="K49" s="241">
        <f t="shared" si="1"/>
        <v>34</v>
      </c>
      <c r="L49" s="241">
        <v>0</v>
      </c>
      <c r="M49" s="241">
        <v>-52</v>
      </c>
      <c r="N49" s="130" t="s">
        <v>656</v>
      </c>
      <c r="O49" s="130"/>
      <c r="P49" s="130"/>
      <c r="Q49" s="241">
        <f>IF(H49&lt;60,'Berechnung-WÜ-Material'!$AL$110,IF(AND(H49&gt;=60,H49&lt;80),'Berechnung-WÜ-Material'!$AM$110,IF(AND('Daten-Materialien'!H49&gt;=80,'Daten-Materialien'!H49&lt;100),'Berechnung-WÜ-Material'!$AN$110,IF(AND(H49&gt;=100,H49&lt;120),'Berechnung-WÜ-Material'!$AO$110,IF(AND('Daten-Materialien'!H49&gt;=120,'Daten-Materialien'!H49&lt;140),'Berechnung-WÜ-Material'!$AP$110,IF('Daten-Materialien'!H49&gt;140,'Berechnung-WÜ-Material'!$AQ$110,"FEHLER"))))))</f>
        <v>2.2063369805171464</v>
      </c>
      <c r="R49" s="241">
        <f>IF(E49&lt;0.1,'Berechnung-WÜ-Material'!$AS$110,IF(AND(E49&gt;=0.1,E49&lt;0.3),'Berechnung-WÜ-Material'!$AT$110,IF(AND('Daten-Materialien'!E49&gt;=0.3,'Daten-Materialien'!E49&lt;0.6),'Berechnung-WÜ-Material'!$AU$110,IF(AND(E49&gt;=0.6,E49&lt;1),'Berechnung-WÜ-Material'!$AV$110,IF(AND('Daten-Materialien'!E49&gt;=1,'Daten-Materialien'!E49&lt;1.5),'Berechnung-WÜ-Material'!$AW$110,IF('Daten-Materialien'!E49&gt;1.5,'Berechnung-WÜ-Material'!$AX$110,"FEHLER"))))))</f>
        <v>8.1415883793382715</v>
      </c>
      <c r="S49" s="241">
        <f>IF(K49&lt;15,'Berechnung-WÜ-Material'!$AZ$110,IF(AND(K49&gt;=15,K49&lt;30),'Berechnung-WÜ-Material'!$BA$110,IF(AND('Daten-Materialien'!K49&gt;=30,'Daten-Materialien'!K49&lt;45),'Berechnung-WÜ-Material'!$BB$110,IF(AND(K49&gt;=45,K49&lt;60),'Berechnung-WÜ-Material'!$BC$110,IF(AND('Daten-Materialien'!K49&gt;=60,'Daten-Materialien'!K49&lt;75),'Berechnung-WÜ-Material'!$BD$110,IF('Daten-Materialien'!K49&gt;75,'Berechnung-WÜ-Material'!$BE$110,"FEHLER"))))))</f>
        <v>5.9436257603083487</v>
      </c>
      <c r="T49" s="241">
        <f>SUM(Q49:S49)+(L49*3*'Berechnung-WÜ-Material'!$G$22)</f>
        <v>16.291551120163767</v>
      </c>
      <c r="U49" s="241">
        <f t="shared" si="2"/>
        <v>49.227967116544896</v>
      </c>
      <c r="V49" s="241">
        <f>100/'Berechnung-WÜ-Material'!$BF$112*'Daten-Materialien'!T49</f>
        <v>79.523175615640071</v>
      </c>
      <c r="W49" s="241">
        <f t="shared" si="9"/>
        <v>53</v>
      </c>
      <c r="X49" s="241" t="str">
        <f t="shared" si="6"/>
        <v/>
      </c>
      <c r="Y49" s="241">
        <f t="shared" si="7"/>
        <v>0</v>
      </c>
      <c r="Z49" s="241" t="str">
        <f t="shared" si="8"/>
        <v/>
      </c>
      <c r="AB49" s="241" t="s">
        <v>830</v>
      </c>
    </row>
    <row r="50" spans="1:28" ht="51.75" x14ac:dyDescent="0.25">
      <c r="A50" s="241" t="str">
        <f t="shared" si="4"/>
        <v/>
      </c>
      <c r="B50" s="241" t="s">
        <v>842</v>
      </c>
      <c r="D50" s="340">
        <v>0.4</v>
      </c>
      <c r="E50" s="241">
        <f t="shared" si="5"/>
        <v>0.4</v>
      </c>
      <c r="G50" s="337">
        <v>83</v>
      </c>
      <c r="H50" s="241">
        <f t="shared" si="0"/>
        <v>83</v>
      </c>
      <c r="J50" s="241">
        <v>22</v>
      </c>
      <c r="K50" s="241">
        <f t="shared" si="1"/>
        <v>22</v>
      </c>
      <c r="L50" s="241">
        <v>0</v>
      </c>
      <c r="M50" s="241">
        <v>0</v>
      </c>
      <c r="N50" s="130" t="s">
        <v>652</v>
      </c>
      <c r="O50" s="130"/>
      <c r="P50" s="130"/>
      <c r="Q50" s="241">
        <f>IF(H50&lt;60,'Berechnung-WÜ-Material'!$AL$110,IF(AND(H50&gt;=60,H50&lt;80),'Berechnung-WÜ-Material'!$AM$110,IF(AND('Daten-Materialien'!H50&gt;=80,'Daten-Materialien'!H50&lt;100),'Berechnung-WÜ-Material'!$AN$110,IF(AND(H50&gt;=100,H50&lt;120),'Berechnung-WÜ-Material'!$AO$110,IF(AND('Daten-Materialien'!H50&gt;=120,'Daten-Materialien'!H50&lt;140),'Berechnung-WÜ-Material'!$AP$110,IF('Daten-Materialien'!H50&gt;140,'Berechnung-WÜ-Material'!$AQ$110,"FEHLER"))))))</f>
        <v>2.9517194566014666</v>
      </c>
      <c r="R50" s="241">
        <f>IF(E50&lt;0.1,'Berechnung-WÜ-Material'!$AS$110,IF(AND(E50&gt;=0.1,E50&lt;0.3),'Berechnung-WÜ-Material'!$AT$110,IF(AND('Daten-Materialien'!E50&gt;=0.3,'Daten-Materialien'!E50&lt;0.6),'Berechnung-WÜ-Material'!$AU$110,IF(AND(E50&gt;=0.6,E50&lt;1),'Berechnung-WÜ-Material'!$AV$110,IF(AND('Daten-Materialien'!E50&gt;=1,'Daten-Materialien'!E50&lt;1.5),'Berechnung-WÜ-Material'!$AW$110,IF('Daten-Materialien'!E50&gt;1.5,'Berechnung-WÜ-Material'!$AX$110,"FEHLER"))))))</f>
        <v>7.4603395508911365</v>
      </c>
      <c r="S50" s="241">
        <f>IF(K50&lt;15,'Berechnung-WÜ-Material'!$AZ$110,IF(AND(K50&gt;=15,K50&lt;30),'Berechnung-WÜ-Material'!$BA$110,IF(AND('Daten-Materialien'!K50&gt;=30,'Daten-Materialien'!K50&lt;45),'Berechnung-WÜ-Material'!$BB$110,IF(AND(K50&gt;=45,K50&lt;60),'Berechnung-WÜ-Material'!$BC$110,IF(AND('Daten-Materialien'!K50&gt;=60,'Daten-Materialien'!K50&lt;75),'Berechnung-WÜ-Material'!$BD$110,IF('Daten-Materialien'!K50&gt;75,'Berechnung-WÜ-Material'!$BE$110,"FEHLER"))))))</f>
        <v>5.3164008462907759</v>
      </c>
      <c r="T50" s="241">
        <f>SUM(Q50:S50)+(L50*3*'Berechnung-WÜ-Material'!$G$22)</f>
        <v>15.728459853783379</v>
      </c>
      <c r="U50" s="241">
        <f t="shared" si="2"/>
        <v>47.142443907561798</v>
      </c>
      <c r="V50" s="241">
        <f>100/'Berechnung-WÜ-Material'!$BF$112*'Daten-Materialien'!T50</f>
        <v>76.774584929969961</v>
      </c>
      <c r="W50" s="241">
        <f t="shared" si="9"/>
        <v>65</v>
      </c>
      <c r="X50" s="241" t="str">
        <f t="shared" si="6"/>
        <v/>
      </c>
      <c r="Y50" s="241">
        <f t="shared" si="7"/>
        <v>0</v>
      </c>
      <c r="Z50" s="241" t="str">
        <f t="shared" si="8"/>
        <v/>
      </c>
      <c r="AB50" s="241" t="s">
        <v>829</v>
      </c>
    </row>
    <row r="51" spans="1:28" ht="51.75" x14ac:dyDescent="0.25">
      <c r="A51" s="241" t="str">
        <f t="shared" si="4"/>
        <v/>
      </c>
      <c r="B51" s="241" t="s">
        <v>843</v>
      </c>
      <c r="D51" s="241">
        <v>0.12</v>
      </c>
      <c r="E51" s="241">
        <f t="shared" si="5"/>
        <v>0.12</v>
      </c>
      <c r="G51" s="337">
        <v>83</v>
      </c>
      <c r="H51" s="241">
        <f t="shared" si="0"/>
        <v>83</v>
      </c>
      <c r="J51" s="241">
        <v>46</v>
      </c>
      <c r="K51" s="241">
        <f t="shared" si="1"/>
        <v>46</v>
      </c>
      <c r="L51" s="241">
        <v>0</v>
      </c>
      <c r="M51" s="241">
        <v>-81</v>
      </c>
      <c r="N51" s="130" t="s">
        <v>655</v>
      </c>
      <c r="O51" s="130"/>
      <c r="P51" s="130"/>
      <c r="Q51" s="241">
        <f>IF(H51&lt;60,'Berechnung-WÜ-Material'!$AL$110,IF(AND(H51&gt;=60,H51&lt;80),'Berechnung-WÜ-Material'!$AM$110,IF(AND('Daten-Materialien'!H51&gt;=80,'Daten-Materialien'!H51&lt;100),'Berechnung-WÜ-Material'!$AN$110,IF(AND(H51&gt;=100,H51&lt;120),'Berechnung-WÜ-Material'!$AO$110,IF(AND('Daten-Materialien'!H51&gt;=120,'Daten-Materialien'!H51&lt;140),'Berechnung-WÜ-Material'!$AP$110,IF('Daten-Materialien'!H51&gt;140,'Berechnung-WÜ-Material'!$AQ$110,"FEHLER"))))))</f>
        <v>2.9517194566014666</v>
      </c>
      <c r="R51" s="241">
        <f>IF(E51&lt;0.1,'Berechnung-WÜ-Material'!$AS$110,IF(AND(E51&gt;=0.1,E51&lt;0.3),'Berechnung-WÜ-Material'!$AT$110,IF(AND('Daten-Materialien'!E51&gt;=0.3,'Daten-Materialien'!E51&lt;0.6),'Berechnung-WÜ-Material'!$AU$110,IF(AND(E51&gt;=0.6,E51&lt;1),'Berechnung-WÜ-Material'!$AV$110,IF(AND('Daten-Materialien'!E51&gt;=1,'Daten-Materialien'!E51&lt;1.5),'Berechnung-WÜ-Material'!$AW$110,IF('Daten-Materialien'!E51&gt;1.5,'Berechnung-WÜ-Material'!$AX$110,"FEHLER"))))))</f>
        <v>8.1415883793382715</v>
      </c>
      <c r="S51" s="241">
        <f>IF(K51&lt;15,'Berechnung-WÜ-Material'!$AZ$110,IF(AND(K51&gt;=15,K51&lt;30),'Berechnung-WÜ-Material'!$BA$110,IF(AND('Daten-Materialien'!K51&gt;=30,'Daten-Materialien'!K51&lt;45),'Berechnung-WÜ-Material'!$BB$110,IF(AND(K51&gt;=45,K51&lt;60),'Berechnung-WÜ-Material'!$BC$110,IF(AND('Daten-Materialien'!K51&gt;=60,'Daten-Materialien'!K51&lt;75),'Berechnung-WÜ-Material'!$BD$110,IF('Daten-Materialien'!K51&gt;75,'Berechnung-WÜ-Material'!$BE$110,"FEHLER"))))))</f>
        <v>2.6681383364247617</v>
      </c>
      <c r="T51" s="241">
        <f>SUM(Q51:S51)+(L51*3*'Berechnung-WÜ-Material'!$G$22)</f>
        <v>13.761446172364501</v>
      </c>
      <c r="U51" s="241">
        <f t="shared" si="2"/>
        <v>39.857208049872021</v>
      </c>
      <c r="V51" s="241">
        <f>100/'Berechnung-WÜ-Material'!$BF$112*'Daten-Materialien'!T51</f>
        <v>67.173094361509726</v>
      </c>
      <c r="W51" s="241">
        <f t="shared" si="9"/>
        <v>137</v>
      </c>
      <c r="X51" s="241" t="str">
        <f t="shared" si="6"/>
        <v/>
      </c>
      <c r="Y51" s="241">
        <f t="shared" si="7"/>
        <v>0</v>
      </c>
      <c r="Z51" s="241" t="str">
        <f t="shared" si="8"/>
        <v/>
      </c>
      <c r="AB51" s="241" t="s">
        <v>863</v>
      </c>
    </row>
    <row r="52" spans="1:28" ht="51.75" x14ac:dyDescent="0.25">
      <c r="A52" s="241" t="str">
        <f t="shared" si="4"/>
        <v/>
      </c>
      <c r="B52" s="241" t="s">
        <v>844</v>
      </c>
      <c r="D52" s="241">
        <v>0.17</v>
      </c>
      <c r="E52" s="241">
        <f t="shared" si="5"/>
        <v>0.17</v>
      </c>
      <c r="G52" s="337">
        <v>83</v>
      </c>
      <c r="H52" s="241">
        <f t="shared" si="0"/>
        <v>83</v>
      </c>
      <c r="J52" s="241">
        <v>47</v>
      </c>
      <c r="K52" s="241">
        <f t="shared" si="1"/>
        <v>47</v>
      </c>
      <c r="L52" s="241">
        <v>0</v>
      </c>
      <c r="M52" s="241">
        <v>-38</v>
      </c>
      <c r="N52" s="130" t="s">
        <v>654</v>
      </c>
      <c r="O52" s="130"/>
      <c r="P52" s="130"/>
      <c r="Q52" s="241">
        <f>IF(H52&lt;60,'Berechnung-WÜ-Material'!$AL$110,IF(AND(H52&gt;=60,H52&lt;80),'Berechnung-WÜ-Material'!$AM$110,IF(AND('Daten-Materialien'!H52&gt;=80,'Daten-Materialien'!H52&lt;100),'Berechnung-WÜ-Material'!$AN$110,IF(AND(H52&gt;=100,H52&lt;120),'Berechnung-WÜ-Material'!$AO$110,IF(AND('Daten-Materialien'!H52&gt;=120,'Daten-Materialien'!H52&lt;140),'Berechnung-WÜ-Material'!$AP$110,IF('Daten-Materialien'!H52&gt;140,'Berechnung-WÜ-Material'!$AQ$110,"FEHLER"))))))</f>
        <v>2.9517194566014666</v>
      </c>
      <c r="R52" s="241">
        <f>IF(E52&lt;0.1,'Berechnung-WÜ-Material'!$AS$110,IF(AND(E52&gt;=0.1,E52&lt;0.3),'Berechnung-WÜ-Material'!$AT$110,IF(AND('Daten-Materialien'!E52&gt;=0.3,'Daten-Materialien'!E52&lt;0.6),'Berechnung-WÜ-Material'!$AU$110,IF(AND(E52&gt;=0.6,E52&lt;1),'Berechnung-WÜ-Material'!$AV$110,IF(AND('Daten-Materialien'!E52&gt;=1,'Daten-Materialien'!E52&lt;1.5),'Berechnung-WÜ-Material'!$AW$110,IF('Daten-Materialien'!E52&gt;1.5,'Berechnung-WÜ-Material'!$AX$110,"FEHLER"))))))</f>
        <v>8.1415883793382715</v>
      </c>
      <c r="S52" s="241">
        <f>IF(K52&lt;15,'Berechnung-WÜ-Material'!$AZ$110,IF(AND(K52&gt;=15,K52&lt;30),'Berechnung-WÜ-Material'!$BA$110,IF(AND('Daten-Materialien'!K52&gt;=30,'Daten-Materialien'!K52&lt;45),'Berechnung-WÜ-Material'!$BB$110,IF(AND(K52&gt;=45,K52&lt;60),'Berechnung-WÜ-Material'!$BC$110,IF(AND('Daten-Materialien'!K52&gt;=60,'Daten-Materialien'!K52&lt;75),'Berechnung-WÜ-Material'!$BD$110,IF('Daten-Materialien'!K52&gt;75,'Berechnung-WÜ-Material'!$BE$110,"FEHLER"))))))</f>
        <v>2.6681383364247617</v>
      </c>
      <c r="T52" s="241">
        <f>SUM(Q52:S52)+(L52*3*'Berechnung-WÜ-Material'!$G$22)</f>
        <v>13.761446172364501</v>
      </c>
      <c r="U52" s="241">
        <f t="shared" si="2"/>
        <v>39.857208049872021</v>
      </c>
      <c r="V52" s="241">
        <f>100/'Berechnung-WÜ-Material'!$BF$112*'Daten-Materialien'!T52</f>
        <v>67.173094361509726</v>
      </c>
      <c r="W52" s="241">
        <f t="shared" si="9"/>
        <v>137</v>
      </c>
      <c r="X52" s="241" t="str">
        <f t="shared" si="6"/>
        <v/>
      </c>
      <c r="Y52" s="241">
        <f t="shared" si="7"/>
        <v>0</v>
      </c>
      <c r="Z52" s="241" t="str">
        <f t="shared" si="8"/>
        <v/>
      </c>
      <c r="AB52" s="241" t="s">
        <v>827</v>
      </c>
    </row>
    <row r="53" spans="1:28" ht="39" x14ac:dyDescent="0.25">
      <c r="A53" s="241" t="str">
        <f t="shared" si="4"/>
        <v/>
      </c>
      <c r="B53" s="241" t="s">
        <v>845</v>
      </c>
      <c r="D53" s="241">
        <v>0.1</v>
      </c>
      <c r="E53" s="241">
        <f t="shared" si="5"/>
        <v>0.1</v>
      </c>
      <c r="G53" s="337">
        <v>83</v>
      </c>
      <c r="H53" s="241">
        <f t="shared" si="0"/>
        <v>83</v>
      </c>
      <c r="J53" s="241">
        <v>27</v>
      </c>
      <c r="K53" s="241">
        <f t="shared" si="1"/>
        <v>27</v>
      </c>
      <c r="L53" s="241">
        <v>0</v>
      </c>
      <c r="M53" s="241">
        <v>-61</v>
      </c>
      <c r="N53" s="130" t="s">
        <v>656</v>
      </c>
      <c r="O53" s="130"/>
      <c r="P53" s="130"/>
      <c r="Q53" s="241">
        <f>IF(H53&lt;60,'Berechnung-WÜ-Material'!$AL$110,IF(AND(H53&gt;=60,H53&lt;80),'Berechnung-WÜ-Material'!$AM$110,IF(AND('Daten-Materialien'!H53&gt;=80,'Daten-Materialien'!H53&lt;100),'Berechnung-WÜ-Material'!$AN$110,IF(AND(H53&gt;=100,H53&lt;120),'Berechnung-WÜ-Material'!$AO$110,IF(AND('Daten-Materialien'!H53&gt;=120,'Daten-Materialien'!H53&lt;140),'Berechnung-WÜ-Material'!$AP$110,IF('Daten-Materialien'!H53&gt;140,'Berechnung-WÜ-Material'!$AQ$110,"FEHLER"))))))</f>
        <v>2.9517194566014666</v>
      </c>
      <c r="R53" s="241">
        <f>IF(E53&lt;0.1,'Berechnung-WÜ-Material'!$AS$110,IF(AND(E53&gt;=0.1,E53&lt;0.3),'Berechnung-WÜ-Material'!$AT$110,IF(AND('Daten-Materialien'!E53&gt;=0.3,'Daten-Materialien'!E53&lt;0.6),'Berechnung-WÜ-Material'!$AU$110,IF(AND(E53&gt;=0.6,E53&lt;1),'Berechnung-WÜ-Material'!$AV$110,IF(AND('Daten-Materialien'!E53&gt;=1,'Daten-Materialien'!E53&lt;1.5),'Berechnung-WÜ-Material'!$AW$110,IF('Daten-Materialien'!E53&gt;1.5,'Berechnung-WÜ-Material'!$AX$110,"FEHLER"))))))</f>
        <v>8.1415883793382715</v>
      </c>
      <c r="S53" s="241">
        <f>IF(K53&lt;15,'Berechnung-WÜ-Material'!$AZ$110,IF(AND(K53&gt;=15,K53&lt;30),'Berechnung-WÜ-Material'!$BA$110,IF(AND('Daten-Materialien'!K53&gt;=30,'Daten-Materialien'!K53&lt;45),'Berechnung-WÜ-Material'!$BB$110,IF(AND(K53&gt;=45,K53&lt;60),'Berechnung-WÜ-Material'!$BC$110,IF(AND('Daten-Materialien'!K53&gt;=60,'Daten-Materialien'!K53&lt;75),'Berechnung-WÜ-Material'!$BD$110,IF('Daten-Materialien'!K53&gt;75,'Berechnung-WÜ-Material'!$BE$110,"FEHLER"))))))</f>
        <v>5.3164008462907759</v>
      </c>
      <c r="T53" s="241">
        <f>SUM(Q53:S53)+(L53*3*'Berechnung-WÜ-Material'!$G$22)</f>
        <v>16.409708682230516</v>
      </c>
      <c r="U53" s="241">
        <f t="shared" si="2"/>
        <v>49.665587716827119</v>
      </c>
      <c r="V53" s="241">
        <f>100/'Berechnung-WÜ-Material'!$BF$112*'Daten-Materialien'!T53</f>
        <v>80.099932517990538</v>
      </c>
      <c r="W53" s="241">
        <f t="shared" si="9"/>
        <v>27</v>
      </c>
      <c r="X53" s="241" t="str">
        <f t="shared" si="6"/>
        <v/>
      </c>
      <c r="Y53" s="241">
        <f t="shared" si="7"/>
        <v>0</v>
      </c>
      <c r="Z53" s="241" t="str">
        <f t="shared" si="8"/>
        <v/>
      </c>
      <c r="AB53" s="241" t="s">
        <v>825</v>
      </c>
    </row>
    <row r="54" spans="1:28" ht="51.75" x14ac:dyDescent="0.25">
      <c r="A54" s="241" t="str">
        <f t="shared" si="4"/>
        <v/>
      </c>
      <c r="B54" s="241" t="s">
        <v>846</v>
      </c>
      <c r="D54" s="340">
        <v>0.13600000000000001</v>
      </c>
      <c r="E54" s="241">
        <f t="shared" si="5"/>
        <v>0.13600000000000001</v>
      </c>
      <c r="G54" s="241">
        <v>95</v>
      </c>
      <c r="H54" s="241">
        <f t="shared" si="0"/>
        <v>95</v>
      </c>
      <c r="J54" s="241">
        <v>30</v>
      </c>
      <c r="K54" s="241">
        <f t="shared" si="1"/>
        <v>30</v>
      </c>
      <c r="L54" s="241">
        <v>0</v>
      </c>
      <c r="M54" s="241">
        <v>-40</v>
      </c>
      <c r="N54" s="130" t="s">
        <v>659</v>
      </c>
      <c r="O54" s="130"/>
      <c r="P54" s="130"/>
      <c r="Q54" s="241">
        <f>IF(H54&lt;60,'Berechnung-WÜ-Material'!$AL$110,IF(AND(H54&gt;=60,H54&lt;80),'Berechnung-WÜ-Material'!$AM$110,IF(AND('Daten-Materialien'!H54&gt;=80,'Daten-Materialien'!H54&lt;100),'Berechnung-WÜ-Material'!$AN$110,IF(AND(H54&gt;=100,H54&lt;120),'Berechnung-WÜ-Material'!$AO$110,IF(AND('Daten-Materialien'!H54&gt;=120,'Daten-Materialien'!H54&lt;140),'Berechnung-WÜ-Material'!$AP$110,IF('Daten-Materialien'!H54&gt;140,'Berechnung-WÜ-Material'!$AQ$110,"FEHLER"))))))</f>
        <v>2.9517194566014666</v>
      </c>
      <c r="R54" s="241">
        <f>IF(E54&lt;0.1,'Berechnung-WÜ-Material'!$AS$110,IF(AND(E54&gt;=0.1,E54&lt;0.3),'Berechnung-WÜ-Material'!$AT$110,IF(AND('Daten-Materialien'!E54&gt;=0.3,'Daten-Materialien'!E54&lt;0.6),'Berechnung-WÜ-Material'!$AU$110,IF(AND(E54&gt;=0.6,E54&lt;1),'Berechnung-WÜ-Material'!$AV$110,IF(AND('Daten-Materialien'!E54&gt;=1,'Daten-Materialien'!E54&lt;1.5),'Berechnung-WÜ-Material'!$AW$110,IF('Daten-Materialien'!E54&gt;1.5,'Berechnung-WÜ-Material'!$AX$110,"FEHLER"))))))</f>
        <v>8.1415883793382715</v>
      </c>
      <c r="S54" s="241">
        <f>IF(K54&lt;15,'Berechnung-WÜ-Material'!$AZ$110,IF(AND(K54&gt;=15,K54&lt;30),'Berechnung-WÜ-Material'!$BA$110,IF(AND('Daten-Materialien'!K54&gt;=30,'Daten-Materialien'!K54&lt;45),'Berechnung-WÜ-Material'!$BB$110,IF(AND(K54&gt;=45,K54&lt;60),'Berechnung-WÜ-Material'!$BC$110,IF(AND('Daten-Materialien'!K54&gt;=60,'Daten-Materialien'!K54&lt;75),'Berechnung-WÜ-Material'!$BD$110,IF('Daten-Materialien'!K54&gt;75,'Berechnung-WÜ-Material'!$BE$110,"FEHLER"))))))</f>
        <v>5.9436257603083487</v>
      </c>
      <c r="T54" s="241">
        <f>SUM(Q54:S54)+(L54*3*'Berechnung-WÜ-Material'!$G$22)</f>
        <v>17.036933596248087</v>
      </c>
      <c r="U54" s="241">
        <f t="shared" si="2"/>
        <v>51.988642954115079</v>
      </c>
      <c r="V54" s="241">
        <f>100/'Berechnung-WÜ-Material'!$BF$112*'Daten-Materialien'!T54</f>
        <v>83.16157573538743</v>
      </c>
      <c r="W54" s="241">
        <f t="shared" si="9"/>
        <v>13</v>
      </c>
      <c r="X54" s="241" t="str">
        <f t="shared" si="6"/>
        <v/>
      </c>
      <c r="Y54" s="241">
        <f t="shared" si="7"/>
        <v>0</v>
      </c>
      <c r="Z54" s="241" t="str">
        <f t="shared" si="8"/>
        <v/>
      </c>
      <c r="AB54" s="241" t="s">
        <v>828</v>
      </c>
    </row>
    <row r="55" spans="1:28" ht="51.75" x14ac:dyDescent="0.25">
      <c r="A55" s="241" t="str">
        <f t="shared" si="4"/>
        <v/>
      </c>
      <c r="B55" s="241" t="s">
        <v>847</v>
      </c>
      <c r="D55" s="241">
        <v>0.03</v>
      </c>
      <c r="E55" s="241">
        <f t="shared" si="5"/>
        <v>0.03</v>
      </c>
      <c r="G55" s="337">
        <v>83</v>
      </c>
      <c r="H55" s="241">
        <f t="shared" si="0"/>
        <v>83</v>
      </c>
      <c r="J55" s="337">
        <v>36</v>
      </c>
      <c r="K55" s="241">
        <f t="shared" si="1"/>
        <v>36</v>
      </c>
      <c r="L55" s="241">
        <v>0</v>
      </c>
      <c r="M55" s="241">
        <v>-10</v>
      </c>
      <c r="N55" s="130" t="s">
        <v>657</v>
      </c>
      <c r="O55" s="130"/>
      <c r="P55" s="130"/>
      <c r="Q55" s="241">
        <f>IF(H55&lt;60,'Berechnung-WÜ-Material'!$AL$110,IF(AND(H55&gt;=60,H55&lt;80),'Berechnung-WÜ-Material'!$AM$110,IF(AND('Daten-Materialien'!H55&gt;=80,'Daten-Materialien'!H55&lt;100),'Berechnung-WÜ-Material'!$AN$110,IF(AND(H55&gt;=100,H55&lt;120),'Berechnung-WÜ-Material'!$AO$110,IF(AND('Daten-Materialien'!H55&gt;=120,'Daten-Materialien'!H55&lt;140),'Berechnung-WÜ-Material'!$AP$110,IF('Daten-Materialien'!H55&gt;140,'Berechnung-WÜ-Material'!$AQ$110,"FEHLER"))))))</f>
        <v>2.9517194566014666</v>
      </c>
      <c r="R55" s="241">
        <f>IF(E55&lt;0.1,'Berechnung-WÜ-Material'!$AS$110,IF(AND(E55&gt;=0.1,E55&lt;0.3),'Berechnung-WÜ-Material'!$AT$110,IF(AND('Daten-Materialien'!E55&gt;=0.3,'Daten-Materialien'!E55&lt;0.6),'Berechnung-WÜ-Material'!$AU$110,IF(AND(E55&gt;=0.6,E55&lt;1),'Berechnung-WÜ-Material'!$AV$110,IF(AND('Daten-Materialien'!E55&gt;=1,'Daten-Materialien'!E55&lt;1.5),'Berechnung-WÜ-Material'!$AW$110,IF('Daten-Materialien'!E55&gt;1.5,'Berechnung-WÜ-Material'!$AX$110,"FEHLER"))))))</f>
        <v>5.4090960472347849</v>
      </c>
      <c r="S55" s="241">
        <f>IF(K55&lt;15,'Berechnung-WÜ-Material'!$AZ$110,IF(AND(K55&gt;=15,K55&lt;30),'Berechnung-WÜ-Material'!$BA$110,IF(AND('Daten-Materialien'!K55&gt;=30,'Daten-Materialien'!K55&lt;45),'Berechnung-WÜ-Material'!$BB$110,IF(AND(K55&gt;=45,K55&lt;60),'Berechnung-WÜ-Material'!$BC$110,IF(AND('Daten-Materialien'!K55&gt;=60,'Daten-Materialien'!K55&lt;75),'Berechnung-WÜ-Material'!$BD$110,IF('Daten-Materialien'!K55&gt;75,'Berechnung-WÜ-Material'!$BE$110,"FEHLER"))))))</f>
        <v>5.9436257603083487</v>
      </c>
      <c r="T55" s="241">
        <f>SUM(Q55:S55)+(L55*3*'Berechnung-WÜ-Material'!$G$22)</f>
        <v>14.3044412641446</v>
      </c>
      <c r="U55" s="241">
        <f t="shared" si="2"/>
        <v>41.868300982551801</v>
      </c>
      <c r="V55" s="241">
        <f>100/'Berechnung-WÜ-Material'!$BF$112*'Daten-Materialien'!T55</f>
        <v>69.82359054346108</v>
      </c>
      <c r="W55" s="241">
        <f t="shared" si="9"/>
        <v>115</v>
      </c>
      <c r="X55" s="241" t="str">
        <f t="shared" si="6"/>
        <v/>
      </c>
      <c r="Y55" s="241">
        <f t="shared" si="7"/>
        <v>0</v>
      </c>
      <c r="Z55" s="241" t="str">
        <f t="shared" si="8"/>
        <v/>
      </c>
      <c r="AB55" s="241" t="s">
        <v>826</v>
      </c>
    </row>
    <row r="56" spans="1:28" ht="51.75" x14ac:dyDescent="0.25">
      <c r="A56" s="241">
        <f t="shared" si="4"/>
        <v>1</v>
      </c>
      <c r="B56" s="241" t="s">
        <v>660</v>
      </c>
      <c r="D56" s="340">
        <v>0.21299999999999999</v>
      </c>
      <c r="E56" s="241">
        <f t="shared" si="5"/>
        <v>0.21299999999999999</v>
      </c>
      <c r="G56" s="241">
        <v>92</v>
      </c>
      <c r="H56" s="241">
        <f t="shared" si="0"/>
        <v>92</v>
      </c>
      <c r="J56" s="241">
        <v>42</v>
      </c>
      <c r="K56" s="241">
        <f t="shared" si="1"/>
        <v>42</v>
      </c>
      <c r="L56" s="241">
        <v>0.5</v>
      </c>
      <c r="M56" s="241">
        <v>-20</v>
      </c>
      <c r="N56" s="130" t="s">
        <v>659</v>
      </c>
      <c r="O56" s="130"/>
      <c r="P56" s="130"/>
      <c r="Q56" s="241">
        <f>IF(H56&lt;60,'Berechnung-WÜ-Material'!$AL$110,IF(AND(H56&gt;=60,H56&lt;80),'Berechnung-WÜ-Material'!$AM$110,IF(AND('Daten-Materialien'!H56&gt;=80,'Daten-Materialien'!H56&lt;100),'Berechnung-WÜ-Material'!$AN$110,IF(AND(H56&gt;=100,H56&lt;120),'Berechnung-WÜ-Material'!$AO$110,IF(AND('Daten-Materialien'!H56&gt;=120,'Daten-Materialien'!H56&lt;140),'Berechnung-WÜ-Material'!$AP$110,IF('Daten-Materialien'!H56&gt;140,'Berechnung-WÜ-Material'!$AQ$110,"FEHLER"))))))</f>
        <v>2.9517194566014666</v>
      </c>
      <c r="R56" s="241">
        <f>IF(E56&lt;0.1,'Berechnung-WÜ-Material'!$AS$110,IF(AND(E56&gt;=0.1,E56&lt;0.3),'Berechnung-WÜ-Material'!$AT$110,IF(AND('Daten-Materialien'!E56&gt;=0.3,'Daten-Materialien'!E56&lt;0.6),'Berechnung-WÜ-Material'!$AU$110,IF(AND(E56&gt;=0.6,E56&lt;1),'Berechnung-WÜ-Material'!$AV$110,IF(AND('Daten-Materialien'!E56&gt;=1,'Daten-Materialien'!E56&lt;1.5),'Berechnung-WÜ-Material'!$AW$110,IF('Daten-Materialien'!E56&gt;1.5,'Berechnung-WÜ-Material'!$AX$110,"FEHLER"))))))</f>
        <v>8.1415883793382715</v>
      </c>
      <c r="S56" s="241">
        <f>IF(K56&lt;15,'Berechnung-WÜ-Material'!$AZ$110,IF(AND(K56&gt;=15,K56&lt;30),'Berechnung-WÜ-Material'!$BA$110,IF(AND('Daten-Materialien'!K56&gt;=30,'Daten-Materialien'!K56&lt;45),'Berechnung-WÜ-Material'!$BB$110,IF(AND(K56&gt;=45,K56&lt;60),'Berechnung-WÜ-Material'!$BC$110,IF(AND('Daten-Materialien'!K56&gt;=60,'Daten-Materialien'!K56&lt;75),'Berechnung-WÜ-Material'!$BD$110,IF('Daten-Materialien'!K56&gt;75,'Berechnung-WÜ-Material'!$BE$110,"FEHLER"))))))</f>
        <v>5.9436257603083487</v>
      </c>
      <c r="T56" s="241">
        <f>SUM(Q56:S56)+(L56*3*'Berechnung-WÜ-Material'!$G$22)</f>
        <v>17.865043390079936</v>
      </c>
      <c r="U56" s="241">
        <f t="shared" si="2"/>
        <v>55.055716264848783</v>
      </c>
      <c r="V56" s="241">
        <f>100/'Berechnung-WÜ-Material'!$BF$112*'Daten-Materialien'!T56</f>
        <v>87.203788786692002</v>
      </c>
      <c r="W56" s="241">
        <f t="shared" si="9"/>
        <v>2</v>
      </c>
      <c r="X56" s="241">
        <f t="shared" si="6"/>
        <v>1</v>
      </c>
      <c r="Y56" s="241">
        <f t="shared" si="7"/>
        <v>1</v>
      </c>
      <c r="Z56" s="241">
        <f t="shared" si="8"/>
        <v>1</v>
      </c>
      <c r="AB56" s="241" t="s">
        <v>880</v>
      </c>
    </row>
    <row r="57" spans="1:28" ht="39" x14ac:dyDescent="0.25">
      <c r="A57" s="241" t="str">
        <f t="shared" si="4"/>
        <v/>
      </c>
      <c r="B57" s="241" t="s">
        <v>848</v>
      </c>
      <c r="D57" s="337">
        <v>0.08</v>
      </c>
      <c r="E57" s="241">
        <f t="shared" si="5"/>
        <v>0.08</v>
      </c>
      <c r="G57" s="337">
        <v>90</v>
      </c>
      <c r="H57" s="241">
        <f t="shared" si="0"/>
        <v>90</v>
      </c>
      <c r="J57" s="337">
        <v>28</v>
      </c>
      <c r="K57" s="241">
        <f t="shared" si="1"/>
        <v>28</v>
      </c>
      <c r="L57" s="241">
        <v>0.5</v>
      </c>
      <c r="M57" s="241">
        <f>(1.1-2.8)/2.8*100</f>
        <v>-60.714285714285708</v>
      </c>
      <c r="N57" s="130" t="s">
        <v>661</v>
      </c>
      <c r="O57" s="130"/>
      <c r="P57" s="130"/>
      <c r="Q57" s="241">
        <f>IF(H57&lt;60,'Berechnung-WÜ-Material'!$AL$110,IF(AND(H57&gt;=60,H57&lt;80),'Berechnung-WÜ-Material'!$AM$110,IF(AND('Daten-Materialien'!H57&gt;=80,'Daten-Materialien'!H57&lt;100),'Berechnung-WÜ-Material'!$AN$110,IF(AND(H57&gt;=100,H57&lt;120),'Berechnung-WÜ-Material'!$AO$110,IF(AND('Daten-Materialien'!H57&gt;=120,'Daten-Materialien'!H57&lt;140),'Berechnung-WÜ-Material'!$AP$110,IF('Daten-Materialien'!H57&gt;140,'Berechnung-WÜ-Material'!$AQ$110,"FEHLER"))))))</f>
        <v>2.9517194566014666</v>
      </c>
      <c r="R57" s="241">
        <f>IF(E57&lt;0.1,'Berechnung-WÜ-Material'!$AS$110,IF(AND(E57&gt;=0.1,E57&lt;0.3),'Berechnung-WÜ-Material'!$AT$110,IF(AND('Daten-Materialien'!E57&gt;=0.3,'Daten-Materialien'!E57&lt;0.6),'Berechnung-WÜ-Material'!$AU$110,IF(AND(E57&gt;=0.6,E57&lt;1),'Berechnung-WÜ-Material'!$AV$110,IF(AND('Daten-Materialien'!E57&gt;=1,'Daten-Materialien'!E57&lt;1.5),'Berechnung-WÜ-Material'!$AW$110,IF('Daten-Materialien'!E57&gt;1.5,'Berechnung-WÜ-Material'!$AX$110,"FEHLER"))))))</f>
        <v>5.4090960472347849</v>
      </c>
      <c r="S57" s="241">
        <f>IF(K57&lt;15,'Berechnung-WÜ-Material'!$AZ$110,IF(AND(K57&gt;=15,K57&lt;30),'Berechnung-WÜ-Material'!$BA$110,IF(AND('Daten-Materialien'!K57&gt;=30,'Daten-Materialien'!K57&lt;45),'Berechnung-WÜ-Material'!$BB$110,IF(AND(K57&gt;=45,K57&lt;60),'Berechnung-WÜ-Material'!$BC$110,IF(AND('Daten-Materialien'!K57&gt;=60,'Daten-Materialien'!K57&lt;75),'Berechnung-WÜ-Material'!$BD$110,IF('Daten-Materialien'!K57&gt;75,'Berechnung-WÜ-Material'!$BE$110,"FEHLER"))))))</f>
        <v>5.3164008462907759</v>
      </c>
      <c r="T57" s="241">
        <f>SUM(Q57:S57)+(L57*3*'Berechnung-WÜ-Material'!$G$22)</f>
        <v>14.505326143958875</v>
      </c>
      <c r="U57" s="241">
        <f t="shared" si="2"/>
        <v>42.612319055997524</v>
      </c>
      <c r="V57" s="241">
        <f>100/'Berechnung-WÜ-Material'!$BF$112*'Daten-Materialien'!T57</f>
        <v>70.80416037736876</v>
      </c>
      <c r="W57" s="241">
        <f t="shared" si="9"/>
        <v>109</v>
      </c>
      <c r="X57" s="241" t="str">
        <f t="shared" si="6"/>
        <v/>
      </c>
      <c r="Y57" s="241">
        <f t="shared" si="7"/>
        <v>1</v>
      </c>
      <c r="Z57" s="241" t="str">
        <f t="shared" si="8"/>
        <v/>
      </c>
      <c r="AB57" s="241" t="s">
        <v>852</v>
      </c>
    </row>
    <row r="58" spans="1:28" ht="39" x14ac:dyDescent="0.25">
      <c r="A58" s="241" t="str">
        <f t="shared" si="4"/>
        <v/>
      </c>
      <c r="B58" s="241" t="s">
        <v>849</v>
      </c>
      <c r="D58" s="241">
        <v>0.08</v>
      </c>
      <c r="E58" s="241">
        <f t="shared" si="5"/>
        <v>0.08</v>
      </c>
      <c r="G58" s="337">
        <v>90</v>
      </c>
      <c r="H58" s="241">
        <f t="shared" si="0"/>
        <v>90</v>
      </c>
      <c r="J58" s="241">
        <v>28</v>
      </c>
      <c r="K58" s="241">
        <f t="shared" si="1"/>
        <v>28</v>
      </c>
      <c r="L58" s="241">
        <v>0.5</v>
      </c>
      <c r="M58" s="241">
        <v>-42</v>
      </c>
      <c r="N58" s="130" t="s">
        <v>662</v>
      </c>
      <c r="O58" s="130"/>
      <c r="P58" s="130"/>
      <c r="Q58" s="241">
        <f>IF(H58&lt;60,'Berechnung-WÜ-Material'!$AL$110,IF(AND(H58&gt;=60,H58&lt;80),'Berechnung-WÜ-Material'!$AM$110,IF(AND('Daten-Materialien'!H58&gt;=80,'Daten-Materialien'!H58&lt;100),'Berechnung-WÜ-Material'!$AN$110,IF(AND(H58&gt;=100,H58&lt;120),'Berechnung-WÜ-Material'!$AO$110,IF(AND('Daten-Materialien'!H58&gt;=120,'Daten-Materialien'!H58&lt;140),'Berechnung-WÜ-Material'!$AP$110,IF('Daten-Materialien'!H58&gt;140,'Berechnung-WÜ-Material'!$AQ$110,"FEHLER"))))))</f>
        <v>2.9517194566014666</v>
      </c>
      <c r="R58" s="241">
        <f>IF(E58&lt;0.1,'Berechnung-WÜ-Material'!$AS$110,IF(AND(E58&gt;=0.1,E58&lt;0.3),'Berechnung-WÜ-Material'!$AT$110,IF(AND('Daten-Materialien'!E58&gt;=0.3,'Daten-Materialien'!E58&lt;0.6),'Berechnung-WÜ-Material'!$AU$110,IF(AND(E58&gt;=0.6,E58&lt;1),'Berechnung-WÜ-Material'!$AV$110,IF(AND('Daten-Materialien'!E58&gt;=1,'Daten-Materialien'!E58&lt;1.5),'Berechnung-WÜ-Material'!$AW$110,IF('Daten-Materialien'!E58&gt;1.5,'Berechnung-WÜ-Material'!$AX$110,"FEHLER"))))))</f>
        <v>5.4090960472347849</v>
      </c>
      <c r="S58" s="241">
        <f>IF(K58&lt;15,'Berechnung-WÜ-Material'!$AZ$110,IF(AND(K58&gt;=15,K58&lt;30),'Berechnung-WÜ-Material'!$BA$110,IF(AND('Daten-Materialien'!K58&gt;=30,'Daten-Materialien'!K58&lt;45),'Berechnung-WÜ-Material'!$BB$110,IF(AND(K58&gt;=45,K58&lt;60),'Berechnung-WÜ-Material'!$BC$110,IF(AND('Daten-Materialien'!K58&gt;=60,'Daten-Materialien'!K58&lt;75),'Berechnung-WÜ-Material'!$BD$110,IF('Daten-Materialien'!K58&gt;75,'Berechnung-WÜ-Material'!$BE$110,"FEHLER"))))))</f>
        <v>5.3164008462907759</v>
      </c>
      <c r="T58" s="241">
        <f>SUM(Q58:S58)+(L58*3*'Berechnung-WÜ-Material'!$G$22)</f>
        <v>14.505326143958875</v>
      </c>
      <c r="U58" s="241">
        <f t="shared" si="2"/>
        <v>42.612319055997524</v>
      </c>
      <c r="V58" s="241">
        <f>100/'Berechnung-WÜ-Material'!$BF$112*'Daten-Materialien'!T58</f>
        <v>70.80416037736876</v>
      </c>
      <c r="W58" s="241">
        <f t="shared" si="9"/>
        <v>109</v>
      </c>
      <c r="X58" s="241" t="str">
        <f t="shared" si="6"/>
        <v/>
      </c>
      <c r="Y58" s="241">
        <f t="shared" si="7"/>
        <v>1</v>
      </c>
      <c r="Z58" s="241" t="str">
        <f t="shared" si="8"/>
        <v/>
      </c>
      <c r="AB58" s="241" t="s">
        <v>850</v>
      </c>
    </row>
    <row r="59" spans="1:28" ht="51" customHeight="1" x14ac:dyDescent="0.2">
      <c r="A59" s="241" t="str">
        <f t="shared" si="4"/>
        <v/>
      </c>
      <c r="B59" s="241" t="s">
        <v>850</v>
      </c>
      <c r="D59" s="241">
        <v>0.12</v>
      </c>
      <c r="E59" s="241">
        <f t="shared" si="5"/>
        <v>0.12</v>
      </c>
      <c r="G59" s="241">
        <v>56</v>
      </c>
      <c r="H59" s="241">
        <f t="shared" si="0"/>
        <v>56</v>
      </c>
      <c r="J59" s="241">
        <v>48</v>
      </c>
      <c r="K59" s="241">
        <f t="shared" si="1"/>
        <v>48</v>
      </c>
      <c r="L59" s="241">
        <v>0</v>
      </c>
      <c r="M59" s="241">
        <f>(2-3.8)/3.8*100</f>
        <v>-47.368421052631575</v>
      </c>
      <c r="N59" s="130" t="s">
        <v>663</v>
      </c>
      <c r="O59" s="130"/>
      <c r="P59" s="130"/>
      <c r="Q59" s="241">
        <f>IF(H59&lt;60,'Berechnung-WÜ-Material'!$AL$110,IF(AND(H59&gt;=60,H59&lt;80),'Berechnung-WÜ-Material'!$AM$110,IF(AND('Daten-Materialien'!H59&gt;=80,'Daten-Materialien'!H59&lt;100),'Berechnung-WÜ-Material'!$AN$110,IF(AND(H59&gt;=100,H59&lt;120),'Berechnung-WÜ-Material'!$AO$110,IF(AND('Daten-Materialien'!H59&gt;=120,'Daten-Materialien'!H59&lt;140),'Berechnung-WÜ-Material'!$AP$110,IF('Daten-Materialien'!H59&gt;140,'Berechnung-WÜ-Material'!$AQ$110,"FEHLER"))))))</f>
        <v>2.2063369805171464</v>
      </c>
      <c r="R59" s="241">
        <f>IF(E59&lt;0.1,'Berechnung-WÜ-Material'!$AS$110,IF(AND(E59&gt;=0.1,E59&lt;0.3),'Berechnung-WÜ-Material'!$AT$110,IF(AND('Daten-Materialien'!E59&gt;=0.3,'Daten-Materialien'!E59&lt;0.6),'Berechnung-WÜ-Material'!$AU$110,IF(AND(E59&gt;=0.6,E59&lt;1),'Berechnung-WÜ-Material'!$AV$110,IF(AND('Daten-Materialien'!E59&gt;=1,'Daten-Materialien'!E59&lt;1.5),'Berechnung-WÜ-Material'!$AW$110,IF('Daten-Materialien'!E59&gt;1.5,'Berechnung-WÜ-Material'!$AX$110,"FEHLER"))))))</f>
        <v>8.1415883793382715</v>
      </c>
      <c r="S59" s="241">
        <f>IF(K59&lt;15,'Berechnung-WÜ-Material'!$AZ$110,IF(AND(K59&gt;=15,K59&lt;30),'Berechnung-WÜ-Material'!$BA$110,IF(AND('Daten-Materialien'!K59&gt;=30,'Daten-Materialien'!K59&lt;45),'Berechnung-WÜ-Material'!$BB$110,IF(AND(K59&gt;=45,K59&lt;60),'Berechnung-WÜ-Material'!$BC$110,IF(AND('Daten-Materialien'!K59&gt;=60,'Daten-Materialien'!K59&lt;75),'Berechnung-WÜ-Material'!$BD$110,IF('Daten-Materialien'!K59&gt;75,'Berechnung-WÜ-Material'!$BE$110,"FEHLER"))))))</f>
        <v>2.6681383364247617</v>
      </c>
      <c r="T59" s="241">
        <f>SUM(Q59:S59)+(L59*3*'Berechnung-WÜ-Material'!$G$22)</f>
        <v>13.016063696280181</v>
      </c>
      <c r="U59" s="241">
        <f t="shared" si="2"/>
        <v>37.096532212301838</v>
      </c>
      <c r="V59" s="241">
        <f>100/'Berechnung-WÜ-Material'!$BF$112*'Daten-Materialien'!T59</f>
        <v>63.534694241762367</v>
      </c>
      <c r="W59" s="241">
        <f t="shared" si="9"/>
        <v>165</v>
      </c>
      <c r="X59" s="241" t="str">
        <f t="shared" si="6"/>
        <v/>
      </c>
      <c r="Y59" s="241">
        <f t="shared" si="7"/>
        <v>1</v>
      </c>
      <c r="Z59" s="241" t="str">
        <f t="shared" si="8"/>
        <v/>
      </c>
      <c r="AB59" s="241" t="s">
        <v>851</v>
      </c>
    </row>
    <row r="60" spans="1:28" ht="51" customHeight="1" x14ac:dyDescent="0.2">
      <c r="A60" s="241" t="str">
        <f t="shared" si="4"/>
        <v/>
      </c>
      <c r="B60" s="241" t="s">
        <v>851</v>
      </c>
      <c r="D60" s="241">
        <v>0.15</v>
      </c>
      <c r="E60" s="241">
        <f t="shared" si="5"/>
        <v>0.15</v>
      </c>
      <c r="G60" s="241">
        <v>61</v>
      </c>
      <c r="H60" s="241">
        <f t="shared" si="0"/>
        <v>61</v>
      </c>
      <c r="J60" s="241">
        <v>44</v>
      </c>
      <c r="K60" s="241">
        <f t="shared" si="1"/>
        <v>44</v>
      </c>
      <c r="L60" s="241">
        <v>0</v>
      </c>
      <c r="M60" s="241">
        <f>(2.3-3.7)/3.7*100</f>
        <v>-37.837837837837846</v>
      </c>
      <c r="N60" s="130" t="s">
        <v>663</v>
      </c>
      <c r="O60" s="130"/>
      <c r="P60" s="130"/>
      <c r="Q60" s="241">
        <f>IF(H60&lt;60,'Berechnung-WÜ-Material'!$AL$110,IF(AND(H60&gt;=60,H60&lt;80),'Berechnung-WÜ-Material'!$AM$110,IF(AND('Daten-Materialien'!H60&gt;=80,'Daten-Materialien'!H60&lt;100),'Berechnung-WÜ-Material'!$AN$110,IF(AND(H60&gt;=100,H60&lt;120),'Berechnung-WÜ-Material'!$AO$110,IF(AND('Daten-Materialien'!H60&gt;=120,'Daten-Materialien'!H60&lt;140),'Berechnung-WÜ-Material'!$AP$110,IF('Daten-Materialien'!H60&gt;140,'Berechnung-WÜ-Material'!$AQ$110,"FEHLER"))))))</f>
        <v>1.4830749679207913</v>
      </c>
      <c r="R60" s="241">
        <f>IF(E60&lt;0.1,'Berechnung-WÜ-Material'!$AS$110,IF(AND(E60&gt;=0.1,E60&lt;0.3),'Berechnung-WÜ-Material'!$AT$110,IF(AND('Daten-Materialien'!E60&gt;=0.3,'Daten-Materialien'!E60&lt;0.6),'Berechnung-WÜ-Material'!$AU$110,IF(AND(E60&gt;=0.6,E60&lt;1),'Berechnung-WÜ-Material'!$AV$110,IF(AND('Daten-Materialien'!E60&gt;=1,'Daten-Materialien'!E60&lt;1.5),'Berechnung-WÜ-Material'!$AW$110,IF('Daten-Materialien'!E60&gt;1.5,'Berechnung-WÜ-Material'!$AX$110,"FEHLER"))))))</f>
        <v>8.1415883793382715</v>
      </c>
      <c r="S60" s="241">
        <f>IF(K60&lt;15,'Berechnung-WÜ-Material'!$AZ$110,IF(AND(K60&gt;=15,K60&lt;30),'Berechnung-WÜ-Material'!$BA$110,IF(AND('Daten-Materialien'!K60&gt;=30,'Daten-Materialien'!K60&lt;45),'Berechnung-WÜ-Material'!$BB$110,IF(AND(K60&gt;=45,K60&lt;60),'Berechnung-WÜ-Material'!$BC$110,IF(AND('Daten-Materialien'!K60&gt;=60,'Daten-Materialien'!K60&lt;75),'Berechnung-WÜ-Material'!$BD$110,IF('Daten-Materialien'!K60&gt;75,'Berechnung-WÜ-Material'!$BE$110,"FEHLER"))))))</f>
        <v>5.9436257603083487</v>
      </c>
      <c r="T60" s="241">
        <f>SUM(Q60:S60)+(L60*3*'Berechnung-WÜ-Material'!$G$22)</f>
        <v>15.568289107567411</v>
      </c>
      <c r="U60" s="241">
        <f t="shared" si="2"/>
        <v>46.549218921529274</v>
      </c>
      <c r="V60" s="241">
        <f>100/'Berechnung-WÜ-Material'!$BF$112*'Daten-Materialien'!T60</f>
        <v>75.99275106492712</v>
      </c>
      <c r="W60" s="241">
        <f t="shared" si="9"/>
        <v>80</v>
      </c>
      <c r="X60" s="241" t="str">
        <f t="shared" si="6"/>
        <v/>
      </c>
      <c r="Y60" s="241">
        <f t="shared" si="7"/>
        <v>1</v>
      </c>
      <c r="Z60" s="241" t="str">
        <f t="shared" si="8"/>
        <v/>
      </c>
      <c r="AB60" s="241" t="s">
        <v>771</v>
      </c>
    </row>
    <row r="61" spans="1:28" ht="51" customHeight="1" x14ac:dyDescent="0.2">
      <c r="A61" s="241" t="str">
        <f t="shared" si="4"/>
        <v/>
      </c>
      <c r="B61" s="241" t="s">
        <v>852</v>
      </c>
      <c r="D61" s="241">
        <v>0.13</v>
      </c>
      <c r="E61" s="241">
        <f t="shared" si="5"/>
        <v>0.13</v>
      </c>
      <c r="G61" s="241">
        <v>51</v>
      </c>
      <c r="H61" s="241">
        <f t="shared" si="0"/>
        <v>51</v>
      </c>
      <c r="J61" s="241">
        <v>41</v>
      </c>
      <c r="K61" s="241">
        <f t="shared" si="1"/>
        <v>41</v>
      </c>
      <c r="L61" s="241">
        <v>0</v>
      </c>
      <c r="M61" s="241">
        <f>(3-5)/5*100</f>
        <v>-40</v>
      </c>
      <c r="N61" s="130" t="s">
        <v>663</v>
      </c>
      <c r="O61" s="130"/>
      <c r="P61" s="130"/>
      <c r="Q61" s="241">
        <f>IF(H61&lt;60,'Berechnung-WÜ-Material'!$AL$110,IF(AND(H61&gt;=60,H61&lt;80),'Berechnung-WÜ-Material'!$AM$110,IF(AND('Daten-Materialien'!H61&gt;=80,'Daten-Materialien'!H61&lt;100),'Berechnung-WÜ-Material'!$AN$110,IF(AND(H61&gt;=100,H61&lt;120),'Berechnung-WÜ-Material'!$AO$110,IF(AND('Daten-Materialien'!H61&gt;=120,'Daten-Materialien'!H61&lt;140),'Berechnung-WÜ-Material'!$AP$110,IF('Daten-Materialien'!H61&gt;140,'Berechnung-WÜ-Material'!$AQ$110,"FEHLER"))))))</f>
        <v>2.2063369805171464</v>
      </c>
      <c r="R61" s="241">
        <f>IF(E61&lt;0.1,'Berechnung-WÜ-Material'!$AS$110,IF(AND(E61&gt;=0.1,E61&lt;0.3),'Berechnung-WÜ-Material'!$AT$110,IF(AND('Daten-Materialien'!E61&gt;=0.3,'Daten-Materialien'!E61&lt;0.6),'Berechnung-WÜ-Material'!$AU$110,IF(AND(E61&gt;=0.6,E61&lt;1),'Berechnung-WÜ-Material'!$AV$110,IF(AND('Daten-Materialien'!E61&gt;=1,'Daten-Materialien'!E61&lt;1.5),'Berechnung-WÜ-Material'!$AW$110,IF('Daten-Materialien'!E61&gt;1.5,'Berechnung-WÜ-Material'!$AX$110,"FEHLER"))))))</f>
        <v>8.1415883793382715</v>
      </c>
      <c r="S61" s="241">
        <f>IF(K61&lt;15,'Berechnung-WÜ-Material'!$AZ$110,IF(AND(K61&gt;=15,K61&lt;30),'Berechnung-WÜ-Material'!$BA$110,IF(AND('Daten-Materialien'!K61&gt;=30,'Daten-Materialien'!K61&lt;45),'Berechnung-WÜ-Material'!$BB$110,IF(AND(K61&gt;=45,K61&lt;60),'Berechnung-WÜ-Material'!$BC$110,IF(AND('Daten-Materialien'!K61&gt;=60,'Daten-Materialien'!K61&lt;75),'Berechnung-WÜ-Material'!$BD$110,IF('Daten-Materialien'!K61&gt;75,'Berechnung-WÜ-Material'!$BE$110,"FEHLER"))))))</f>
        <v>5.9436257603083487</v>
      </c>
      <c r="T61" s="241">
        <f>SUM(Q61:S61)+(L61*3*'Berechnung-WÜ-Material'!$G$22)</f>
        <v>16.291551120163767</v>
      </c>
      <c r="U61" s="241">
        <f t="shared" si="2"/>
        <v>49.227967116544896</v>
      </c>
      <c r="V61" s="241">
        <f>100/'Berechnung-WÜ-Material'!$BF$112*'Daten-Materialien'!T61</f>
        <v>79.523175615640071</v>
      </c>
      <c r="W61" s="241">
        <f t="shared" si="9"/>
        <v>53</v>
      </c>
      <c r="X61" s="241" t="str">
        <f t="shared" si="6"/>
        <v/>
      </c>
      <c r="Y61" s="241">
        <f t="shared" si="7"/>
        <v>1</v>
      </c>
      <c r="Z61" s="241" t="str">
        <f t="shared" si="8"/>
        <v/>
      </c>
      <c r="AB61" s="241" t="s">
        <v>618</v>
      </c>
    </row>
    <row r="62" spans="1:28" ht="51.75" customHeight="1" x14ac:dyDescent="0.25">
      <c r="A62" s="241" t="str">
        <f t="shared" si="4"/>
        <v/>
      </c>
      <c r="B62" s="241" t="s">
        <v>664</v>
      </c>
      <c r="D62" s="337">
        <v>0.04</v>
      </c>
      <c r="E62" s="241">
        <f t="shared" si="5"/>
        <v>0.04</v>
      </c>
      <c r="G62" s="241">
        <v>83</v>
      </c>
      <c r="H62" s="241">
        <f t="shared" si="0"/>
        <v>83</v>
      </c>
      <c r="J62" s="241">
        <v>43</v>
      </c>
      <c r="K62" s="241">
        <f t="shared" si="1"/>
        <v>43</v>
      </c>
      <c r="L62" s="241">
        <v>0</v>
      </c>
      <c r="M62" s="241">
        <v>0</v>
      </c>
      <c r="N62" s="130" t="s">
        <v>665</v>
      </c>
      <c r="O62" s="130"/>
      <c r="P62" s="130"/>
      <c r="Q62" s="241">
        <f>IF(H62&lt;60,'Berechnung-WÜ-Material'!$AL$110,IF(AND(H62&gt;=60,H62&lt;80),'Berechnung-WÜ-Material'!$AM$110,IF(AND('Daten-Materialien'!H62&gt;=80,'Daten-Materialien'!H62&lt;100),'Berechnung-WÜ-Material'!$AN$110,IF(AND(H62&gt;=100,H62&lt;120),'Berechnung-WÜ-Material'!$AO$110,IF(AND('Daten-Materialien'!H62&gt;=120,'Daten-Materialien'!H62&lt;140),'Berechnung-WÜ-Material'!$AP$110,IF('Daten-Materialien'!H62&gt;140,'Berechnung-WÜ-Material'!$AQ$110,"FEHLER"))))))</f>
        <v>2.9517194566014666</v>
      </c>
      <c r="R62" s="241">
        <f>IF(E62&lt;0.1,'Berechnung-WÜ-Material'!$AS$110,IF(AND(E62&gt;=0.1,E62&lt;0.3),'Berechnung-WÜ-Material'!$AT$110,IF(AND('Daten-Materialien'!E62&gt;=0.3,'Daten-Materialien'!E62&lt;0.6),'Berechnung-WÜ-Material'!$AU$110,IF(AND(E62&gt;=0.6,E62&lt;1),'Berechnung-WÜ-Material'!$AV$110,IF(AND('Daten-Materialien'!E62&gt;=1,'Daten-Materialien'!E62&lt;1.5),'Berechnung-WÜ-Material'!$AW$110,IF('Daten-Materialien'!E62&gt;1.5,'Berechnung-WÜ-Material'!$AX$110,"FEHLER"))))))</f>
        <v>5.4090960472347849</v>
      </c>
      <c r="S62" s="241">
        <f>IF(K62&lt;15,'Berechnung-WÜ-Material'!$AZ$110,IF(AND(K62&gt;=15,K62&lt;30),'Berechnung-WÜ-Material'!$BA$110,IF(AND('Daten-Materialien'!K62&gt;=30,'Daten-Materialien'!K62&lt;45),'Berechnung-WÜ-Material'!$BB$110,IF(AND(K62&gt;=45,K62&lt;60),'Berechnung-WÜ-Material'!$BC$110,IF(AND('Daten-Materialien'!K62&gt;=60,'Daten-Materialien'!K62&lt;75),'Berechnung-WÜ-Material'!$BD$110,IF('Daten-Materialien'!K62&gt;75,'Berechnung-WÜ-Material'!$BE$110,"FEHLER"))))))</f>
        <v>5.9436257603083487</v>
      </c>
      <c r="T62" s="241">
        <f>SUM(Q62:S62)+(L62*3*'Berechnung-WÜ-Material'!$G$22)</f>
        <v>14.3044412641446</v>
      </c>
      <c r="U62" s="241">
        <f t="shared" si="2"/>
        <v>41.868300982551801</v>
      </c>
      <c r="V62" s="241">
        <f>100/'Berechnung-WÜ-Material'!$BF$112*'Daten-Materialien'!T62</f>
        <v>69.82359054346108</v>
      </c>
      <c r="W62" s="241">
        <f t="shared" si="9"/>
        <v>115</v>
      </c>
      <c r="X62" s="241" t="str">
        <f t="shared" si="6"/>
        <v/>
      </c>
      <c r="Y62" s="241">
        <f t="shared" si="7"/>
        <v>1</v>
      </c>
      <c r="Z62" s="241" t="str">
        <f t="shared" si="8"/>
        <v/>
      </c>
      <c r="AB62" s="241" t="s">
        <v>664</v>
      </c>
    </row>
    <row r="63" spans="1:28" ht="51.75" customHeight="1" x14ac:dyDescent="0.25">
      <c r="A63" s="241" t="str">
        <f t="shared" si="4"/>
        <v/>
      </c>
      <c r="B63" s="241" t="s">
        <v>898</v>
      </c>
      <c r="D63" s="337">
        <v>0.04</v>
      </c>
      <c r="E63" s="241">
        <f t="shared" si="5"/>
        <v>0.04</v>
      </c>
      <c r="G63" s="241">
        <v>49</v>
      </c>
      <c r="H63" s="241">
        <f t="shared" si="0"/>
        <v>49</v>
      </c>
      <c r="J63" s="241">
        <v>47</v>
      </c>
      <c r="K63" s="241">
        <f t="shared" si="1"/>
        <v>47</v>
      </c>
      <c r="L63" s="241">
        <v>0</v>
      </c>
      <c r="M63" s="241">
        <v>38</v>
      </c>
      <c r="N63" s="130" t="s">
        <v>665</v>
      </c>
      <c r="O63" s="130"/>
      <c r="P63" s="130"/>
      <c r="Q63" s="241">
        <f>IF(H63&lt;60,'Berechnung-WÜ-Material'!$AL$110,IF(AND(H63&gt;=60,H63&lt;80),'Berechnung-WÜ-Material'!$AM$110,IF(AND('Daten-Materialien'!H63&gt;=80,'Daten-Materialien'!H63&lt;100),'Berechnung-WÜ-Material'!$AN$110,IF(AND(H63&gt;=100,H63&lt;120),'Berechnung-WÜ-Material'!$AO$110,IF(AND('Daten-Materialien'!H63&gt;=120,'Daten-Materialien'!H63&lt;140),'Berechnung-WÜ-Material'!$AP$110,IF('Daten-Materialien'!H63&gt;140,'Berechnung-WÜ-Material'!$AQ$110,"FEHLER"))))))</f>
        <v>2.2063369805171464</v>
      </c>
      <c r="R63" s="241">
        <f>IF(E63&lt;0.1,'Berechnung-WÜ-Material'!$AS$110,IF(AND(E63&gt;=0.1,E63&lt;0.3),'Berechnung-WÜ-Material'!$AT$110,IF(AND('Daten-Materialien'!E63&gt;=0.3,'Daten-Materialien'!E63&lt;0.6),'Berechnung-WÜ-Material'!$AU$110,IF(AND(E63&gt;=0.6,E63&lt;1),'Berechnung-WÜ-Material'!$AV$110,IF(AND('Daten-Materialien'!E63&gt;=1,'Daten-Materialien'!E63&lt;1.5),'Berechnung-WÜ-Material'!$AW$110,IF('Daten-Materialien'!E63&gt;1.5,'Berechnung-WÜ-Material'!$AX$110,"FEHLER"))))))</f>
        <v>5.4090960472347849</v>
      </c>
      <c r="S63" s="241">
        <f>IF(K63&lt;15,'Berechnung-WÜ-Material'!$AZ$110,IF(AND(K63&gt;=15,K63&lt;30),'Berechnung-WÜ-Material'!$BA$110,IF(AND('Daten-Materialien'!K63&gt;=30,'Daten-Materialien'!K63&lt;45),'Berechnung-WÜ-Material'!$BB$110,IF(AND(K63&gt;=45,K63&lt;60),'Berechnung-WÜ-Material'!$BC$110,IF(AND('Daten-Materialien'!K63&gt;=60,'Daten-Materialien'!K63&lt;75),'Berechnung-WÜ-Material'!$BD$110,IF('Daten-Materialien'!K63&gt;75,'Berechnung-WÜ-Material'!$BE$110,"FEHLER"))))))</f>
        <v>2.6681383364247617</v>
      </c>
      <c r="T63" s="241">
        <f>SUM(Q63:S63)+(L63*3*'Berechnung-WÜ-Material'!$G$22)</f>
        <v>10.283571364176694</v>
      </c>
      <c r="U63" s="241">
        <f t="shared" si="2"/>
        <v>26.976190240738553</v>
      </c>
      <c r="V63" s="241">
        <f>100/'Berechnung-WÜ-Material'!$BF$112*'Daten-Materialien'!T63</f>
        <v>50.196709049836016</v>
      </c>
      <c r="W63" s="241">
        <f t="shared" si="9"/>
        <v>211</v>
      </c>
      <c r="X63" s="241" t="str">
        <f t="shared" si="6"/>
        <v/>
      </c>
      <c r="Y63" s="241">
        <f t="shared" si="7"/>
        <v>1</v>
      </c>
      <c r="Z63" s="241" t="str">
        <f t="shared" si="8"/>
        <v/>
      </c>
      <c r="AB63" s="241" t="s">
        <v>674</v>
      </c>
    </row>
    <row r="64" spans="1:28" ht="51.75" customHeight="1" x14ac:dyDescent="0.25">
      <c r="A64" s="241" t="str">
        <f t="shared" si="4"/>
        <v/>
      </c>
      <c r="B64" s="241" t="s">
        <v>890</v>
      </c>
      <c r="D64" s="337">
        <v>0.04</v>
      </c>
      <c r="E64" s="241">
        <f t="shared" si="5"/>
        <v>0.04</v>
      </c>
      <c r="G64" s="241">
        <v>64</v>
      </c>
      <c r="H64" s="241">
        <f t="shared" si="0"/>
        <v>64</v>
      </c>
      <c r="J64" s="241">
        <v>44</v>
      </c>
      <c r="K64" s="241">
        <f t="shared" si="1"/>
        <v>44</v>
      </c>
      <c r="L64" s="241">
        <v>0</v>
      </c>
      <c r="M64" s="241">
        <v>20</v>
      </c>
      <c r="N64" s="130" t="s">
        <v>665</v>
      </c>
      <c r="O64" s="130"/>
      <c r="P64" s="130"/>
      <c r="Q64" s="241">
        <f>IF(H64&lt;60,'Berechnung-WÜ-Material'!$AL$110,IF(AND(H64&gt;=60,H64&lt;80),'Berechnung-WÜ-Material'!$AM$110,IF(AND('Daten-Materialien'!H64&gt;=80,'Daten-Materialien'!H64&lt;100),'Berechnung-WÜ-Material'!$AN$110,IF(AND(H64&gt;=100,H64&lt;120),'Berechnung-WÜ-Material'!$AO$110,IF(AND('Daten-Materialien'!H64&gt;=120,'Daten-Materialien'!H64&lt;140),'Berechnung-WÜ-Material'!$AP$110,IF('Daten-Materialien'!H64&gt;140,'Berechnung-WÜ-Material'!$AQ$110,"FEHLER"))))))</f>
        <v>1.4830749679207913</v>
      </c>
      <c r="R64" s="241">
        <f>IF(E64&lt;0.1,'Berechnung-WÜ-Material'!$AS$110,IF(AND(E64&gt;=0.1,E64&lt;0.3),'Berechnung-WÜ-Material'!$AT$110,IF(AND('Daten-Materialien'!E64&gt;=0.3,'Daten-Materialien'!E64&lt;0.6),'Berechnung-WÜ-Material'!$AU$110,IF(AND(E64&gt;=0.6,E64&lt;1),'Berechnung-WÜ-Material'!$AV$110,IF(AND('Daten-Materialien'!E64&gt;=1,'Daten-Materialien'!E64&lt;1.5),'Berechnung-WÜ-Material'!$AW$110,IF('Daten-Materialien'!E64&gt;1.5,'Berechnung-WÜ-Material'!$AX$110,"FEHLER"))))))</f>
        <v>5.4090960472347849</v>
      </c>
      <c r="S64" s="241">
        <f>IF(K64&lt;15,'Berechnung-WÜ-Material'!$AZ$110,IF(AND(K64&gt;=15,K64&lt;30),'Berechnung-WÜ-Material'!$BA$110,IF(AND('Daten-Materialien'!K64&gt;=30,'Daten-Materialien'!K64&lt;45),'Berechnung-WÜ-Material'!$BB$110,IF(AND(K64&gt;=45,K64&lt;60),'Berechnung-WÜ-Material'!$BC$110,IF(AND('Daten-Materialien'!K64&gt;=60,'Daten-Materialien'!K64&lt;75),'Berechnung-WÜ-Material'!$BD$110,IF('Daten-Materialien'!K64&gt;75,'Berechnung-WÜ-Material'!$BE$110,"FEHLER"))))))</f>
        <v>5.9436257603083487</v>
      </c>
      <c r="T64" s="241">
        <f>SUM(Q64:S64)+(L64*3*'Berechnung-WÜ-Material'!$G$22)</f>
        <v>12.835796775463924</v>
      </c>
      <c r="U64" s="241">
        <f t="shared" si="2"/>
        <v>36.428876949965996</v>
      </c>
      <c r="V64" s="241">
        <f>100/'Berechnung-WÜ-Material'!$BF$112*'Daten-Materialien'!T64</f>
        <v>62.65476587300077</v>
      </c>
      <c r="W64" s="241">
        <f t="shared" si="9"/>
        <v>169</v>
      </c>
      <c r="X64" s="241" t="str">
        <f t="shared" si="6"/>
        <v/>
      </c>
      <c r="Y64" s="241">
        <f t="shared" si="7"/>
        <v>1</v>
      </c>
      <c r="Z64" s="241" t="str">
        <f t="shared" si="8"/>
        <v/>
      </c>
      <c r="AB64" s="241" t="s">
        <v>673</v>
      </c>
    </row>
    <row r="65" spans="1:28" ht="26.25" x14ac:dyDescent="0.25">
      <c r="A65" s="241" t="str">
        <f t="shared" si="4"/>
        <v/>
      </c>
      <c r="B65" s="241" t="s">
        <v>856</v>
      </c>
      <c r="D65" s="241">
        <v>0.05</v>
      </c>
      <c r="E65" s="241">
        <f t="shared" si="5"/>
        <v>0.05</v>
      </c>
      <c r="G65" s="337">
        <v>84</v>
      </c>
      <c r="H65" s="241">
        <f t="shared" si="0"/>
        <v>84</v>
      </c>
      <c r="J65" s="241">
        <v>41</v>
      </c>
      <c r="K65" s="241">
        <f t="shared" si="1"/>
        <v>41</v>
      </c>
      <c r="L65" s="241">
        <v>0</v>
      </c>
      <c r="M65" s="241">
        <v>0</v>
      </c>
      <c r="N65" s="130" t="s">
        <v>631</v>
      </c>
      <c r="O65" s="130"/>
      <c r="P65" s="130"/>
      <c r="Q65" s="241">
        <f>IF(H65&lt;60,'Berechnung-WÜ-Material'!$AL$110,IF(AND(H65&gt;=60,H65&lt;80),'Berechnung-WÜ-Material'!$AM$110,IF(AND('Daten-Materialien'!H65&gt;=80,'Daten-Materialien'!H65&lt;100),'Berechnung-WÜ-Material'!$AN$110,IF(AND(H65&gt;=100,H65&lt;120),'Berechnung-WÜ-Material'!$AO$110,IF(AND('Daten-Materialien'!H65&gt;=120,'Daten-Materialien'!H65&lt;140),'Berechnung-WÜ-Material'!$AP$110,IF('Daten-Materialien'!H65&gt;140,'Berechnung-WÜ-Material'!$AQ$110,"FEHLER"))))))</f>
        <v>2.9517194566014666</v>
      </c>
      <c r="R65" s="241">
        <f>IF(E65&lt;0.1,'Berechnung-WÜ-Material'!$AS$110,IF(AND(E65&gt;=0.1,E65&lt;0.3),'Berechnung-WÜ-Material'!$AT$110,IF(AND('Daten-Materialien'!E65&gt;=0.3,'Daten-Materialien'!E65&lt;0.6),'Berechnung-WÜ-Material'!$AU$110,IF(AND(E65&gt;=0.6,E65&lt;1),'Berechnung-WÜ-Material'!$AV$110,IF(AND('Daten-Materialien'!E65&gt;=1,'Daten-Materialien'!E65&lt;1.5),'Berechnung-WÜ-Material'!$AW$110,IF('Daten-Materialien'!E65&gt;1.5,'Berechnung-WÜ-Material'!$AX$110,"FEHLER"))))))</f>
        <v>5.4090960472347849</v>
      </c>
      <c r="S65" s="241">
        <f>IF(K65&lt;15,'Berechnung-WÜ-Material'!$AZ$110,IF(AND(K65&gt;=15,K65&lt;30),'Berechnung-WÜ-Material'!$BA$110,IF(AND('Daten-Materialien'!K65&gt;=30,'Daten-Materialien'!K65&lt;45),'Berechnung-WÜ-Material'!$BB$110,IF(AND(K65&gt;=45,K65&lt;60),'Berechnung-WÜ-Material'!$BC$110,IF(AND('Daten-Materialien'!K65&gt;=60,'Daten-Materialien'!K65&lt;75),'Berechnung-WÜ-Material'!$BD$110,IF('Daten-Materialien'!K65&gt;75,'Berechnung-WÜ-Material'!$BE$110,"FEHLER"))))))</f>
        <v>5.9436257603083487</v>
      </c>
      <c r="T65" s="241">
        <f>SUM(Q65:S65)+(L65*3*'Berechnung-WÜ-Material'!$G$22)</f>
        <v>14.3044412641446</v>
      </c>
      <c r="U65" s="241">
        <f t="shared" si="2"/>
        <v>41.868300982551801</v>
      </c>
      <c r="V65" s="241">
        <f>100/'Berechnung-WÜ-Material'!$BF$112*'Daten-Materialien'!T65</f>
        <v>69.82359054346108</v>
      </c>
      <c r="W65" s="241">
        <f t="shared" si="9"/>
        <v>115</v>
      </c>
      <c r="X65" s="241" t="str">
        <f t="shared" si="6"/>
        <v/>
      </c>
      <c r="Y65" s="241">
        <f t="shared" si="7"/>
        <v>1</v>
      </c>
      <c r="Z65" s="241" t="str">
        <f t="shared" si="8"/>
        <v/>
      </c>
      <c r="AB65" s="241" t="s">
        <v>854</v>
      </c>
    </row>
    <row r="66" spans="1:28" ht="26.25" customHeight="1" x14ac:dyDescent="0.25">
      <c r="A66" s="241" t="str">
        <f t="shared" si="4"/>
        <v/>
      </c>
      <c r="B66" s="241" t="s">
        <v>899</v>
      </c>
      <c r="D66" s="241">
        <v>7.0000000000000007E-2</v>
      </c>
      <c r="E66" s="241">
        <f t="shared" si="5"/>
        <v>7.0000000000000007E-2</v>
      </c>
      <c r="G66" s="337">
        <v>64</v>
      </c>
      <c r="H66" s="241">
        <f t="shared" ref="H66:H127" si="10">AVERAGE(F66:G66)</f>
        <v>64</v>
      </c>
      <c r="J66" s="241">
        <v>41</v>
      </c>
      <c r="K66" s="241">
        <f t="shared" ref="K66:K127" si="11">AVERAGE(I66:J66)</f>
        <v>41</v>
      </c>
      <c r="L66" s="241">
        <v>0</v>
      </c>
      <c r="M66" s="241">
        <f>-(1.43-1.2)/1.43*100</f>
        <v>-16.083916083916083</v>
      </c>
      <c r="N66" s="130" t="s">
        <v>631</v>
      </c>
      <c r="O66" s="130"/>
      <c r="P66" s="130"/>
      <c r="Q66" s="241">
        <f>IF(H66&lt;60,'Berechnung-WÜ-Material'!$AL$110,IF(AND(H66&gt;=60,H66&lt;80),'Berechnung-WÜ-Material'!$AM$110,IF(AND('Daten-Materialien'!H66&gt;=80,'Daten-Materialien'!H66&lt;100),'Berechnung-WÜ-Material'!$AN$110,IF(AND(H66&gt;=100,H66&lt;120),'Berechnung-WÜ-Material'!$AO$110,IF(AND('Daten-Materialien'!H66&gt;=120,'Daten-Materialien'!H66&lt;140),'Berechnung-WÜ-Material'!$AP$110,IF('Daten-Materialien'!H66&gt;140,'Berechnung-WÜ-Material'!$AQ$110,"FEHLER"))))))</f>
        <v>1.4830749679207913</v>
      </c>
      <c r="R66" s="241">
        <f>IF(E66&lt;0.1,'Berechnung-WÜ-Material'!$AS$110,IF(AND(E66&gt;=0.1,E66&lt;0.3),'Berechnung-WÜ-Material'!$AT$110,IF(AND('Daten-Materialien'!E66&gt;=0.3,'Daten-Materialien'!E66&lt;0.6),'Berechnung-WÜ-Material'!$AU$110,IF(AND(E66&gt;=0.6,E66&lt;1),'Berechnung-WÜ-Material'!$AV$110,IF(AND('Daten-Materialien'!E66&gt;=1,'Daten-Materialien'!E66&lt;1.5),'Berechnung-WÜ-Material'!$AW$110,IF('Daten-Materialien'!E66&gt;1.5,'Berechnung-WÜ-Material'!$AX$110,"FEHLER"))))))</f>
        <v>5.4090960472347849</v>
      </c>
      <c r="S66" s="241">
        <f>IF(K66&lt;15,'Berechnung-WÜ-Material'!$AZ$110,IF(AND(K66&gt;=15,K66&lt;30),'Berechnung-WÜ-Material'!$BA$110,IF(AND('Daten-Materialien'!K66&gt;=30,'Daten-Materialien'!K66&lt;45),'Berechnung-WÜ-Material'!$BB$110,IF(AND(K66&gt;=45,K66&lt;60),'Berechnung-WÜ-Material'!$BC$110,IF(AND('Daten-Materialien'!K66&gt;=60,'Daten-Materialien'!K66&lt;75),'Berechnung-WÜ-Material'!$BD$110,IF('Daten-Materialien'!K66&gt;75,'Berechnung-WÜ-Material'!$BE$110,"FEHLER"))))))</f>
        <v>5.9436257603083487</v>
      </c>
      <c r="T66" s="241">
        <f>SUM(Q66:S66)+(L66*3*'Berechnung-WÜ-Material'!$G$22)</f>
        <v>12.835796775463924</v>
      </c>
      <c r="U66" s="241">
        <f t="shared" ref="U66:U133" si="12">3.703703704*T66-11.111111111111</f>
        <v>36.428876949965996</v>
      </c>
      <c r="V66" s="241">
        <f>100/'Berechnung-WÜ-Material'!$BF$112*'Daten-Materialien'!T66</f>
        <v>62.65476587300077</v>
      </c>
      <c r="W66" s="241">
        <f t="shared" ref="W66:W97" si="13">RANK(V66,$V$2:$V$238)</f>
        <v>169</v>
      </c>
      <c r="X66" s="241" t="str">
        <f t="shared" si="6"/>
        <v/>
      </c>
      <c r="Y66" s="241">
        <f t="shared" si="7"/>
        <v>1</v>
      </c>
      <c r="Z66" s="241" t="str">
        <f t="shared" si="8"/>
        <v/>
      </c>
      <c r="AB66" s="241" t="s">
        <v>853</v>
      </c>
    </row>
    <row r="67" spans="1:28" ht="26.25" x14ac:dyDescent="0.25">
      <c r="A67" s="241" t="str">
        <f t="shared" ref="A67:A134" si="14">Z67</f>
        <v/>
      </c>
      <c r="B67" s="241" t="s">
        <v>891</v>
      </c>
      <c r="D67" s="241">
        <v>7.0000000000000007E-2</v>
      </c>
      <c r="E67" s="241">
        <f t="shared" ref="E67:E134" si="15">AVERAGE(C67:D67)</f>
        <v>7.0000000000000007E-2</v>
      </c>
      <c r="G67" s="337">
        <v>64</v>
      </c>
      <c r="H67" s="241">
        <f t="shared" si="10"/>
        <v>64</v>
      </c>
      <c r="J67" s="241">
        <v>40</v>
      </c>
      <c r="K67" s="241">
        <f t="shared" si="11"/>
        <v>40</v>
      </c>
      <c r="L67" s="241">
        <v>0</v>
      </c>
      <c r="M67" s="241">
        <f>-(1.43-1.3)/1.43*100</f>
        <v>-9.0909090909090846</v>
      </c>
      <c r="N67" s="130" t="s">
        <v>631</v>
      </c>
      <c r="O67" s="130"/>
      <c r="P67" s="130"/>
      <c r="Q67" s="241">
        <f>IF(H67&lt;60,'Berechnung-WÜ-Material'!$AL$110,IF(AND(H67&gt;=60,H67&lt;80),'Berechnung-WÜ-Material'!$AM$110,IF(AND('Daten-Materialien'!H67&gt;=80,'Daten-Materialien'!H67&lt;100),'Berechnung-WÜ-Material'!$AN$110,IF(AND(H67&gt;=100,H67&lt;120),'Berechnung-WÜ-Material'!$AO$110,IF(AND('Daten-Materialien'!H67&gt;=120,'Daten-Materialien'!H67&lt;140),'Berechnung-WÜ-Material'!$AP$110,IF('Daten-Materialien'!H67&gt;140,'Berechnung-WÜ-Material'!$AQ$110,"FEHLER"))))))</f>
        <v>1.4830749679207913</v>
      </c>
      <c r="R67" s="241">
        <f>IF(E67&lt;0.1,'Berechnung-WÜ-Material'!$AS$110,IF(AND(E67&gt;=0.1,E67&lt;0.3),'Berechnung-WÜ-Material'!$AT$110,IF(AND('Daten-Materialien'!E67&gt;=0.3,'Daten-Materialien'!E67&lt;0.6),'Berechnung-WÜ-Material'!$AU$110,IF(AND(E67&gt;=0.6,E67&lt;1),'Berechnung-WÜ-Material'!$AV$110,IF(AND('Daten-Materialien'!E67&gt;=1,'Daten-Materialien'!E67&lt;1.5),'Berechnung-WÜ-Material'!$AW$110,IF('Daten-Materialien'!E67&gt;1.5,'Berechnung-WÜ-Material'!$AX$110,"FEHLER"))))))</f>
        <v>5.4090960472347849</v>
      </c>
      <c r="S67" s="241">
        <f>IF(K67&lt;15,'Berechnung-WÜ-Material'!$AZ$110,IF(AND(K67&gt;=15,K67&lt;30),'Berechnung-WÜ-Material'!$BA$110,IF(AND('Daten-Materialien'!K67&gt;=30,'Daten-Materialien'!K67&lt;45),'Berechnung-WÜ-Material'!$BB$110,IF(AND(K67&gt;=45,K67&lt;60),'Berechnung-WÜ-Material'!$BC$110,IF(AND('Daten-Materialien'!K67&gt;=60,'Daten-Materialien'!K67&lt;75),'Berechnung-WÜ-Material'!$BD$110,IF('Daten-Materialien'!K67&gt;75,'Berechnung-WÜ-Material'!$BE$110,"FEHLER"))))))</f>
        <v>5.9436257603083487</v>
      </c>
      <c r="T67" s="241">
        <f>SUM(Q67:S67)+(L67*3*'Berechnung-WÜ-Material'!$G$22)</f>
        <v>12.835796775463924</v>
      </c>
      <c r="U67" s="241">
        <f t="shared" si="12"/>
        <v>36.428876949965996</v>
      </c>
      <c r="V67" s="241">
        <f>100/'Berechnung-WÜ-Material'!$BF$112*'Daten-Materialien'!T67</f>
        <v>62.65476587300077</v>
      </c>
      <c r="W67" s="241">
        <f t="shared" si="13"/>
        <v>169</v>
      </c>
      <c r="X67" s="241" t="str">
        <f t="shared" ref="X67:X134" si="16">IF(W67=1,1,IF(W67=2,1,IF(W67=3,1,"")))</f>
        <v/>
      </c>
      <c r="Y67" s="241">
        <f t="shared" ref="Y67:Y134" si="17">IF(X67=1,1+Y66,Y66)</f>
        <v>1</v>
      </c>
      <c r="Z67" s="241" t="str">
        <f t="shared" ref="Z67:Z134" si="18">IF(X67=1,Y67,"")</f>
        <v/>
      </c>
      <c r="AB67" s="241" t="s">
        <v>861</v>
      </c>
    </row>
    <row r="68" spans="1:28" ht="26.25" x14ac:dyDescent="0.25">
      <c r="A68" s="241" t="str">
        <f t="shared" si="14"/>
        <v/>
      </c>
      <c r="B68" s="241" t="s">
        <v>857</v>
      </c>
      <c r="D68" s="337">
        <v>0.04</v>
      </c>
      <c r="E68" s="241">
        <f t="shared" si="15"/>
        <v>0.04</v>
      </c>
      <c r="G68" s="337">
        <v>84</v>
      </c>
      <c r="H68" s="241">
        <f t="shared" si="10"/>
        <v>84</v>
      </c>
      <c r="J68" s="241">
        <v>40</v>
      </c>
      <c r="K68" s="241">
        <f t="shared" si="11"/>
        <v>40</v>
      </c>
      <c r="L68" s="241">
        <v>0</v>
      </c>
      <c r="M68" s="241">
        <v>0</v>
      </c>
      <c r="N68" s="130" t="s">
        <v>666</v>
      </c>
      <c r="O68" s="130"/>
      <c r="P68" s="130"/>
      <c r="Q68" s="241">
        <f>IF(H68&lt;60,'Berechnung-WÜ-Material'!$AL$110,IF(AND(H68&gt;=60,H68&lt;80),'Berechnung-WÜ-Material'!$AM$110,IF(AND('Daten-Materialien'!H68&gt;=80,'Daten-Materialien'!H68&lt;100),'Berechnung-WÜ-Material'!$AN$110,IF(AND(H68&gt;=100,H68&lt;120),'Berechnung-WÜ-Material'!$AO$110,IF(AND('Daten-Materialien'!H68&gt;=120,'Daten-Materialien'!H68&lt;140),'Berechnung-WÜ-Material'!$AP$110,IF('Daten-Materialien'!H68&gt;140,'Berechnung-WÜ-Material'!$AQ$110,"FEHLER"))))))</f>
        <v>2.9517194566014666</v>
      </c>
      <c r="R68" s="241">
        <f>IF(E68&lt;0.1,'Berechnung-WÜ-Material'!$AS$110,IF(AND(E68&gt;=0.1,E68&lt;0.3),'Berechnung-WÜ-Material'!$AT$110,IF(AND('Daten-Materialien'!E68&gt;=0.3,'Daten-Materialien'!E68&lt;0.6),'Berechnung-WÜ-Material'!$AU$110,IF(AND(E68&gt;=0.6,E68&lt;1),'Berechnung-WÜ-Material'!$AV$110,IF(AND('Daten-Materialien'!E68&gt;=1,'Daten-Materialien'!E68&lt;1.5),'Berechnung-WÜ-Material'!$AW$110,IF('Daten-Materialien'!E68&gt;1.5,'Berechnung-WÜ-Material'!$AX$110,"FEHLER"))))))</f>
        <v>5.4090960472347849</v>
      </c>
      <c r="S68" s="241">
        <f>IF(K68&lt;15,'Berechnung-WÜ-Material'!$AZ$110,IF(AND(K68&gt;=15,K68&lt;30),'Berechnung-WÜ-Material'!$BA$110,IF(AND('Daten-Materialien'!K68&gt;=30,'Daten-Materialien'!K68&lt;45),'Berechnung-WÜ-Material'!$BB$110,IF(AND(K68&gt;=45,K68&lt;60),'Berechnung-WÜ-Material'!$BC$110,IF(AND('Daten-Materialien'!K68&gt;=60,'Daten-Materialien'!K68&lt;75),'Berechnung-WÜ-Material'!$BD$110,IF('Daten-Materialien'!K68&gt;75,'Berechnung-WÜ-Material'!$BE$110,"FEHLER"))))))</f>
        <v>5.9436257603083487</v>
      </c>
      <c r="T68" s="241">
        <f>SUM(Q68:S68)+(L68*3*'Berechnung-WÜ-Material'!$G$22)</f>
        <v>14.3044412641446</v>
      </c>
      <c r="U68" s="241">
        <f t="shared" si="12"/>
        <v>41.868300982551801</v>
      </c>
      <c r="V68" s="241">
        <f>100/'Berechnung-WÜ-Material'!$BF$112*'Daten-Materialien'!T68</f>
        <v>69.82359054346108</v>
      </c>
      <c r="W68" s="241">
        <f t="shared" si="13"/>
        <v>115</v>
      </c>
      <c r="X68" s="241" t="str">
        <f t="shared" si="16"/>
        <v/>
      </c>
      <c r="Y68" s="241">
        <f t="shared" si="17"/>
        <v>1</v>
      </c>
      <c r="Z68" s="241" t="str">
        <f t="shared" si="18"/>
        <v/>
      </c>
      <c r="AB68" s="241" t="s">
        <v>856</v>
      </c>
    </row>
    <row r="69" spans="1:28" ht="26.25" x14ac:dyDescent="0.25">
      <c r="A69" s="241" t="str">
        <f t="shared" si="14"/>
        <v/>
      </c>
      <c r="B69" s="241" t="s">
        <v>886</v>
      </c>
      <c r="D69" s="337">
        <v>0.04</v>
      </c>
      <c r="E69" s="241">
        <f t="shared" si="15"/>
        <v>0.04</v>
      </c>
      <c r="G69" s="337">
        <v>64</v>
      </c>
      <c r="H69" s="241">
        <f t="shared" si="10"/>
        <v>64</v>
      </c>
      <c r="J69" s="241">
        <v>44</v>
      </c>
      <c r="K69" s="241">
        <f t="shared" si="11"/>
        <v>44</v>
      </c>
      <c r="L69" s="241">
        <v>0</v>
      </c>
      <c r="M69" s="241">
        <f>-2/7*100</f>
        <v>-28.571428571428569</v>
      </c>
      <c r="N69" s="130" t="s">
        <v>666</v>
      </c>
      <c r="O69" s="130"/>
      <c r="P69" s="130"/>
      <c r="Q69" s="241">
        <f>IF(H69&lt;60,'Berechnung-WÜ-Material'!$AL$110,IF(AND(H69&gt;=60,H69&lt;80),'Berechnung-WÜ-Material'!$AM$110,IF(AND('Daten-Materialien'!H69&gt;=80,'Daten-Materialien'!H69&lt;100),'Berechnung-WÜ-Material'!$AN$110,IF(AND(H69&gt;=100,H69&lt;120),'Berechnung-WÜ-Material'!$AO$110,IF(AND('Daten-Materialien'!H69&gt;=120,'Daten-Materialien'!H69&lt;140),'Berechnung-WÜ-Material'!$AP$110,IF('Daten-Materialien'!H69&gt;140,'Berechnung-WÜ-Material'!$AQ$110,"FEHLER"))))))</f>
        <v>1.4830749679207913</v>
      </c>
      <c r="R69" s="241">
        <f>IF(E69&lt;0.1,'Berechnung-WÜ-Material'!$AS$110,IF(AND(E69&gt;=0.1,E69&lt;0.3),'Berechnung-WÜ-Material'!$AT$110,IF(AND('Daten-Materialien'!E69&gt;=0.3,'Daten-Materialien'!E69&lt;0.6),'Berechnung-WÜ-Material'!$AU$110,IF(AND(E69&gt;=0.6,E69&lt;1),'Berechnung-WÜ-Material'!$AV$110,IF(AND('Daten-Materialien'!E69&gt;=1,'Daten-Materialien'!E69&lt;1.5),'Berechnung-WÜ-Material'!$AW$110,IF('Daten-Materialien'!E69&gt;1.5,'Berechnung-WÜ-Material'!$AX$110,"FEHLER"))))))</f>
        <v>5.4090960472347849</v>
      </c>
      <c r="S69" s="241">
        <f>IF(K69&lt;15,'Berechnung-WÜ-Material'!$AZ$110,IF(AND(K69&gt;=15,K69&lt;30),'Berechnung-WÜ-Material'!$BA$110,IF(AND('Daten-Materialien'!K69&gt;=30,'Daten-Materialien'!K69&lt;45),'Berechnung-WÜ-Material'!$BB$110,IF(AND(K69&gt;=45,K69&lt;60),'Berechnung-WÜ-Material'!$BC$110,IF(AND('Daten-Materialien'!K69&gt;=60,'Daten-Materialien'!K69&lt;75),'Berechnung-WÜ-Material'!$BD$110,IF('Daten-Materialien'!K69&gt;75,'Berechnung-WÜ-Material'!$BE$110,"FEHLER"))))))</f>
        <v>5.9436257603083487</v>
      </c>
      <c r="T69" s="241">
        <f>SUM(Q69:S69)+(L69*3*'Berechnung-WÜ-Material'!$G$22)</f>
        <v>12.835796775463924</v>
      </c>
      <c r="U69" s="241">
        <f t="shared" si="12"/>
        <v>36.428876949965996</v>
      </c>
      <c r="V69" s="241">
        <f>100/'Berechnung-WÜ-Material'!$BF$112*'Daten-Materialien'!T69</f>
        <v>62.65476587300077</v>
      </c>
      <c r="W69" s="241">
        <f t="shared" si="13"/>
        <v>169</v>
      </c>
      <c r="X69" s="241" t="str">
        <f t="shared" si="16"/>
        <v/>
      </c>
      <c r="Y69" s="241">
        <f t="shared" si="17"/>
        <v>1</v>
      </c>
      <c r="Z69" s="241" t="str">
        <f t="shared" si="18"/>
        <v/>
      </c>
      <c r="AB69" s="241" t="s">
        <v>857</v>
      </c>
    </row>
    <row r="70" spans="1:28" ht="26.25" x14ac:dyDescent="0.25">
      <c r="A70" s="241" t="str">
        <f t="shared" si="14"/>
        <v/>
      </c>
      <c r="B70" s="241" t="s">
        <v>895</v>
      </c>
      <c r="D70" s="337">
        <v>0.04</v>
      </c>
      <c r="E70" s="241">
        <f t="shared" si="15"/>
        <v>0.04</v>
      </c>
      <c r="G70" s="337">
        <v>64</v>
      </c>
      <c r="H70" s="241">
        <f t="shared" si="10"/>
        <v>64</v>
      </c>
      <c r="J70" s="241">
        <v>37</v>
      </c>
      <c r="K70" s="241">
        <f t="shared" si="11"/>
        <v>37</v>
      </c>
      <c r="L70" s="241">
        <v>0</v>
      </c>
      <c r="M70" s="241">
        <f>-0.2/7*100</f>
        <v>-2.8571428571428572</v>
      </c>
      <c r="N70" s="130" t="s">
        <v>666</v>
      </c>
      <c r="O70" s="130"/>
      <c r="P70" s="130"/>
      <c r="Q70" s="241">
        <f>IF(H70&lt;60,'Berechnung-WÜ-Material'!$AL$110,IF(AND(H70&gt;=60,H70&lt;80),'Berechnung-WÜ-Material'!$AM$110,IF(AND('Daten-Materialien'!H70&gt;=80,'Daten-Materialien'!H70&lt;100),'Berechnung-WÜ-Material'!$AN$110,IF(AND(H70&gt;=100,H70&lt;120),'Berechnung-WÜ-Material'!$AO$110,IF(AND('Daten-Materialien'!H70&gt;=120,'Daten-Materialien'!H70&lt;140),'Berechnung-WÜ-Material'!$AP$110,IF('Daten-Materialien'!H70&gt;140,'Berechnung-WÜ-Material'!$AQ$110,"FEHLER"))))))</f>
        <v>1.4830749679207913</v>
      </c>
      <c r="R70" s="241">
        <f>IF(E70&lt;0.1,'Berechnung-WÜ-Material'!$AS$110,IF(AND(E70&gt;=0.1,E70&lt;0.3),'Berechnung-WÜ-Material'!$AT$110,IF(AND('Daten-Materialien'!E70&gt;=0.3,'Daten-Materialien'!E70&lt;0.6),'Berechnung-WÜ-Material'!$AU$110,IF(AND(E70&gt;=0.6,E70&lt;1),'Berechnung-WÜ-Material'!$AV$110,IF(AND('Daten-Materialien'!E70&gt;=1,'Daten-Materialien'!E70&lt;1.5),'Berechnung-WÜ-Material'!$AW$110,IF('Daten-Materialien'!E70&gt;1.5,'Berechnung-WÜ-Material'!$AX$110,"FEHLER"))))))</f>
        <v>5.4090960472347849</v>
      </c>
      <c r="S70" s="241">
        <f>IF(K70&lt;15,'Berechnung-WÜ-Material'!$AZ$110,IF(AND(K70&gt;=15,K70&lt;30),'Berechnung-WÜ-Material'!$BA$110,IF(AND('Daten-Materialien'!K70&gt;=30,'Daten-Materialien'!K70&lt;45),'Berechnung-WÜ-Material'!$BB$110,IF(AND(K70&gt;=45,K70&lt;60),'Berechnung-WÜ-Material'!$BC$110,IF(AND('Daten-Materialien'!K70&gt;=60,'Daten-Materialien'!K70&lt;75),'Berechnung-WÜ-Material'!$BD$110,IF('Daten-Materialien'!K70&gt;75,'Berechnung-WÜ-Material'!$BE$110,"FEHLER"))))))</f>
        <v>5.9436257603083487</v>
      </c>
      <c r="T70" s="241">
        <f>SUM(Q70:S70)+(L70*3*'Berechnung-WÜ-Material'!$G$22)</f>
        <v>12.835796775463924</v>
      </c>
      <c r="U70" s="241">
        <f t="shared" si="12"/>
        <v>36.428876949965996</v>
      </c>
      <c r="V70" s="241">
        <f>100/'Berechnung-WÜ-Material'!$BF$112*'Daten-Materialien'!T70</f>
        <v>62.65476587300077</v>
      </c>
      <c r="W70" s="241">
        <f t="shared" si="13"/>
        <v>169</v>
      </c>
      <c r="X70" s="241" t="str">
        <f t="shared" si="16"/>
        <v/>
      </c>
      <c r="Y70" s="241">
        <f t="shared" si="17"/>
        <v>1</v>
      </c>
      <c r="Z70" s="241" t="str">
        <f t="shared" si="18"/>
        <v/>
      </c>
      <c r="AB70" s="241" t="s">
        <v>859</v>
      </c>
    </row>
    <row r="71" spans="1:28" ht="26.25" x14ac:dyDescent="0.25">
      <c r="A71" s="241" t="str">
        <f t="shared" si="14"/>
        <v/>
      </c>
      <c r="B71" s="241" t="s">
        <v>888</v>
      </c>
      <c r="D71" s="337">
        <v>0.04</v>
      </c>
      <c r="E71" s="241">
        <f t="shared" si="15"/>
        <v>0.04</v>
      </c>
      <c r="G71" s="337">
        <v>64</v>
      </c>
      <c r="H71" s="241">
        <f t="shared" si="10"/>
        <v>64</v>
      </c>
      <c r="J71" s="241">
        <v>44</v>
      </c>
      <c r="K71" s="241">
        <f t="shared" si="11"/>
        <v>44</v>
      </c>
      <c r="L71" s="241">
        <v>0</v>
      </c>
      <c r="M71" s="241">
        <f>0.6/7*100</f>
        <v>8.5714285714285712</v>
      </c>
      <c r="N71" s="130" t="s">
        <v>666</v>
      </c>
      <c r="O71" s="130"/>
      <c r="P71" s="130"/>
      <c r="Q71" s="241">
        <f>IF(H71&lt;60,'Berechnung-WÜ-Material'!$AL$110,IF(AND(H71&gt;=60,H71&lt;80),'Berechnung-WÜ-Material'!$AM$110,IF(AND('Daten-Materialien'!H71&gt;=80,'Daten-Materialien'!H71&lt;100),'Berechnung-WÜ-Material'!$AN$110,IF(AND(H71&gt;=100,H71&lt;120),'Berechnung-WÜ-Material'!$AO$110,IF(AND('Daten-Materialien'!H71&gt;=120,'Daten-Materialien'!H71&lt;140),'Berechnung-WÜ-Material'!$AP$110,IF('Daten-Materialien'!H71&gt;140,'Berechnung-WÜ-Material'!$AQ$110,"FEHLER"))))))</f>
        <v>1.4830749679207913</v>
      </c>
      <c r="R71" s="241">
        <f>IF(E71&lt;0.1,'Berechnung-WÜ-Material'!$AS$110,IF(AND(E71&gt;=0.1,E71&lt;0.3),'Berechnung-WÜ-Material'!$AT$110,IF(AND('Daten-Materialien'!E71&gt;=0.3,'Daten-Materialien'!E71&lt;0.6),'Berechnung-WÜ-Material'!$AU$110,IF(AND(E71&gt;=0.6,E71&lt;1),'Berechnung-WÜ-Material'!$AV$110,IF(AND('Daten-Materialien'!E71&gt;=1,'Daten-Materialien'!E71&lt;1.5),'Berechnung-WÜ-Material'!$AW$110,IF('Daten-Materialien'!E71&gt;1.5,'Berechnung-WÜ-Material'!$AX$110,"FEHLER"))))))</f>
        <v>5.4090960472347849</v>
      </c>
      <c r="S71" s="241">
        <f>IF(K71&lt;15,'Berechnung-WÜ-Material'!$AZ$110,IF(AND(K71&gt;=15,K71&lt;30),'Berechnung-WÜ-Material'!$BA$110,IF(AND('Daten-Materialien'!K71&gt;=30,'Daten-Materialien'!K71&lt;45),'Berechnung-WÜ-Material'!$BB$110,IF(AND(K71&gt;=45,K71&lt;60),'Berechnung-WÜ-Material'!$BC$110,IF(AND('Daten-Materialien'!K71&gt;=60,'Daten-Materialien'!K71&lt;75),'Berechnung-WÜ-Material'!$BD$110,IF('Daten-Materialien'!K71&gt;75,'Berechnung-WÜ-Material'!$BE$110,"FEHLER"))))))</f>
        <v>5.9436257603083487</v>
      </c>
      <c r="T71" s="241">
        <f>SUM(Q71:S71)+(L71*3*'Berechnung-WÜ-Material'!$G$22)</f>
        <v>12.835796775463924</v>
      </c>
      <c r="U71" s="241">
        <f t="shared" si="12"/>
        <v>36.428876949965996</v>
      </c>
      <c r="V71" s="241">
        <f>100/'Berechnung-WÜ-Material'!$BF$112*'Daten-Materialien'!T71</f>
        <v>62.65476587300077</v>
      </c>
      <c r="W71" s="241">
        <f t="shared" si="13"/>
        <v>169</v>
      </c>
      <c r="X71" s="241" t="str">
        <f t="shared" si="16"/>
        <v/>
      </c>
      <c r="Y71" s="241">
        <f t="shared" si="17"/>
        <v>1</v>
      </c>
      <c r="Z71" s="241" t="str">
        <f t="shared" si="18"/>
        <v/>
      </c>
      <c r="AB71" s="241" t="s">
        <v>855</v>
      </c>
    </row>
    <row r="72" spans="1:28" ht="26.25" x14ac:dyDescent="0.25">
      <c r="A72" s="241" t="str">
        <f t="shared" si="14"/>
        <v/>
      </c>
      <c r="B72" s="241" t="s">
        <v>667</v>
      </c>
      <c r="D72" s="337">
        <v>0.04</v>
      </c>
      <c r="E72" s="241">
        <f t="shared" si="15"/>
        <v>0.04</v>
      </c>
      <c r="G72" s="337">
        <v>64</v>
      </c>
      <c r="H72" s="241">
        <f t="shared" si="10"/>
        <v>64</v>
      </c>
      <c r="J72" s="241">
        <v>42</v>
      </c>
      <c r="K72" s="241">
        <f t="shared" si="11"/>
        <v>42</v>
      </c>
      <c r="L72" s="241">
        <v>0</v>
      </c>
      <c r="M72" s="241">
        <f>1/7*100</f>
        <v>14.285714285714285</v>
      </c>
      <c r="N72" s="130" t="s">
        <v>666</v>
      </c>
      <c r="O72" s="130"/>
      <c r="P72" s="130"/>
      <c r="Q72" s="241">
        <f>IF(H72&lt;60,'Berechnung-WÜ-Material'!$AL$110,IF(AND(H72&gt;=60,H72&lt;80),'Berechnung-WÜ-Material'!$AM$110,IF(AND('Daten-Materialien'!H72&gt;=80,'Daten-Materialien'!H72&lt;100),'Berechnung-WÜ-Material'!$AN$110,IF(AND(H72&gt;=100,H72&lt;120),'Berechnung-WÜ-Material'!$AO$110,IF(AND('Daten-Materialien'!H72&gt;=120,'Daten-Materialien'!H72&lt;140),'Berechnung-WÜ-Material'!$AP$110,IF('Daten-Materialien'!H72&gt;140,'Berechnung-WÜ-Material'!$AQ$110,"FEHLER"))))))</f>
        <v>1.4830749679207913</v>
      </c>
      <c r="R72" s="241">
        <f>IF(E72&lt;0.1,'Berechnung-WÜ-Material'!$AS$110,IF(AND(E72&gt;=0.1,E72&lt;0.3),'Berechnung-WÜ-Material'!$AT$110,IF(AND('Daten-Materialien'!E72&gt;=0.3,'Daten-Materialien'!E72&lt;0.6),'Berechnung-WÜ-Material'!$AU$110,IF(AND(E72&gt;=0.6,E72&lt;1),'Berechnung-WÜ-Material'!$AV$110,IF(AND('Daten-Materialien'!E72&gt;=1,'Daten-Materialien'!E72&lt;1.5),'Berechnung-WÜ-Material'!$AW$110,IF('Daten-Materialien'!E72&gt;1.5,'Berechnung-WÜ-Material'!$AX$110,"FEHLER"))))))</f>
        <v>5.4090960472347849</v>
      </c>
      <c r="S72" s="241">
        <f>IF(K72&lt;15,'Berechnung-WÜ-Material'!$AZ$110,IF(AND(K72&gt;=15,K72&lt;30),'Berechnung-WÜ-Material'!$BA$110,IF(AND('Daten-Materialien'!K72&gt;=30,'Daten-Materialien'!K72&lt;45),'Berechnung-WÜ-Material'!$BB$110,IF(AND(K72&gt;=45,K72&lt;60),'Berechnung-WÜ-Material'!$BC$110,IF(AND('Daten-Materialien'!K72&gt;=60,'Daten-Materialien'!K72&lt;75),'Berechnung-WÜ-Material'!$BD$110,IF('Daten-Materialien'!K72&gt;75,'Berechnung-WÜ-Material'!$BE$110,"FEHLER"))))))</f>
        <v>5.9436257603083487</v>
      </c>
      <c r="T72" s="241">
        <f>SUM(Q72:S72)+(L72*3*'Berechnung-WÜ-Material'!$G$22)</f>
        <v>12.835796775463924</v>
      </c>
      <c r="U72" s="241">
        <f t="shared" si="12"/>
        <v>36.428876949965996</v>
      </c>
      <c r="V72" s="241">
        <f>100/'Berechnung-WÜ-Material'!$BF$112*'Daten-Materialien'!T72</f>
        <v>62.65476587300077</v>
      </c>
      <c r="W72" s="241">
        <f t="shared" si="13"/>
        <v>169</v>
      </c>
      <c r="X72" s="241" t="str">
        <f t="shared" si="16"/>
        <v/>
      </c>
      <c r="Y72" s="241">
        <f t="shared" si="17"/>
        <v>1</v>
      </c>
      <c r="Z72" s="241" t="str">
        <f t="shared" si="18"/>
        <v/>
      </c>
      <c r="AB72" s="241" t="s">
        <v>858</v>
      </c>
    </row>
    <row r="73" spans="1:28" ht="51.75" customHeight="1" x14ac:dyDescent="0.25">
      <c r="A73" s="241" t="str">
        <f t="shared" si="14"/>
        <v/>
      </c>
      <c r="B73" s="241" t="s">
        <v>884</v>
      </c>
      <c r="D73" s="337">
        <v>0.04</v>
      </c>
      <c r="E73" s="241">
        <f t="shared" si="15"/>
        <v>0.04</v>
      </c>
      <c r="G73" s="241">
        <v>56</v>
      </c>
      <c r="H73" s="241">
        <f t="shared" si="10"/>
        <v>56</v>
      </c>
      <c r="J73" s="241">
        <v>89</v>
      </c>
      <c r="K73" s="241">
        <f t="shared" si="11"/>
        <v>89</v>
      </c>
      <c r="L73" s="241">
        <v>0</v>
      </c>
      <c r="M73" s="241">
        <v>0</v>
      </c>
      <c r="N73" s="130" t="s">
        <v>628</v>
      </c>
      <c r="O73" s="130"/>
      <c r="P73" s="130"/>
      <c r="Q73" s="241">
        <f>IF(H73&lt;60,'Berechnung-WÜ-Material'!$AL$110,IF(AND(H73&gt;=60,H73&lt;80),'Berechnung-WÜ-Material'!$AM$110,IF(AND('Daten-Materialien'!H73&gt;=80,'Daten-Materialien'!H73&lt;100),'Berechnung-WÜ-Material'!$AN$110,IF(AND(H73&gt;=100,H73&lt;120),'Berechnung-WÜ-Material'!$AO$110,IF(AND('Daten-Materialien'!H73&gt;=120,'Daten-Materialien'!H73&lt;140),'Berechnung-WÜ-Material'!$AP$110,IF('Daten-Materialien'!H73&gt;140,'Berechnung-WÜ-Material'!$AQ$110,"FEHLER"))))))</f>
        <v>2.2063369805171464</v>
      </c>
      <c r="R73" s="241">
        <f>IF(E73&lt;0.1,'Berechnung-WÜ-Material'!$AS$110,IF(AND(E73&gt;=0.1,E73&lt;0.3),'Berechnung-WÜ-Material'!$AT$110,IF(AND('Daten-Materialien'!E73&gt;=0.3,'Daten-Materialien'!E73&lt;0.6),'Berechnung-WÜ-Material'!$AU$110,IF(AND(E73&gt;=0.6,E73&lt;1),'Berechnung-WÜ-Material'!$AV$110,IF(AND('Daten-Materialien'!E73&gt;=1,'Daten-Materialien'!E73&lt;1.5),'Berechnung-WÜ-Material'!$AW$110,IF('Daten-Materialien'!E73&gt;1.5,'Berechnung-WÜ-Material'!$AX$110,"FEHLER"))))))</f>
        <v>5.4090960472347849</v>
      </c>
      <c r="S73" s="241">
        <f>IF(K73&lt;15,'Berechnung-WÜ-Material'!$AZ$110,IF(AND(K73&gt;=15,K73&lt;30),'Berechnung-WÜ-Material'!$BA$110,IF(AND('Daten-Materialien'!K73&gt;=30,'Daten-Materialien'!K73&lt;45),'Berechnung-WÜ-Material'!$BB$110,IF(AND(K73&gt;=45,K73&lt;60),'Berechnung-WÜ-Material'!$BC$110,IF(AND('Daten-Materialien'!K73&gt;=60,'Daten-Materialien'!K73&lt;75),'Berechnung-WÜ-Material'!$BD$110,IF('Daten-Materialien'!K73&gt;75,'Berechnung-WÜ-Material'!$BE$110,"FEHLER"))))))</f>
        <v>4.7129870533027205</v>
      </c>
      <c r="T73" s="241">
        <f>SUM(Q73:S73)+(L73*3*'Berechnung-WÜ-Material'!$G$22)</f>
        <v>12.328420081054652</v>
      </c>
      <c r="U73" s="241">
        <f t="shared" si="12"/>
        <v>34.549704007559093</v>
      </c>
      <c r="V73" s="241">
        <f>100/'Berechnung-WÜ-Material'!$BF$112*'Daten-Materialien'!T73</f>
        <v>60.178132084407537</v>
      </c>
      <c r="W73" s="241">
        <f t="shared" si="13"/>
        <v>189</v>
      </c>
      <c r="X73" s="241" t="str">
        <f t="shared" si="16"/>
        <v/>
      </c>
      <c r="Y73" s="241">
        <f t="shared" si="17"/>
        <v>1</v>
      </c>
      <c r="Z73" s="241" t="str">
        <f t="shared" si="18"/>
        <v/>
      </c>
      <c r="AB73" s="241" t="s">
        <v>884</v>
      </c>
    </row>
    <row r="74" spans="1:28" ht="51.75" x14ac:dyDescent="0.25">
      <c r="A74" s="241" t="str">
        <f t="shared" si="14"/>
        <v/>
      </c>
      <c r="B74" s="241" t="s">
        <v>887</v>
      </c>
      <c r="D74" s="337">
        <v>0.04</v>
      </c>
      <c r="E74" s="241">
        <f t="shared" si="15"/>
        <v>0.04</v>
      </c>
      <c r="G74" s="241">
        <v>61</v>
      </c>
      <c r="H74" s="241">
        <f t="shared" si="10"/>
        <v>61</v>
      </c>
      <c r="J74" s="241">
        <v>30</v>
      </c>
      <c r="K74" s="241">
        <f t="shared" si="11"/>
        <v>30</v>
      </c>
      <c r="L74" s="241">
        <v>0</v>
      </c>
      <c r="M74" s="241">
        <f>-(2-1.1)/2*100</f>
        <v>-44.999999999999993</v>
      </c>
      <c r="N74" s="130" t="s">
        <v>628</v>
      </c>
      <c r="O74" s="130"/>
      <c r="P74" s="130"/>
      <c r="Q74" s="241">
        <f>IF(H74&lt;60,'Berechnung-WÜ-Material'!$AL$110,IF(AND(H74&gt;=60,H74&lt;80),'Berechnung-WÜ-Material'!$AM$110,IF(AND('Daten-Materialien'!H74&gt;=80,'Daten-Materialien'!H74&lt;100),'Berechnung-WÜ-Material'!$AN$110,IF(AND(H74&gt;=100,H74&lt;120),'Berechnung-WÜ-Material'!$AO$110,IF(AND('Daten-Materialien'!H74&gt;=120,'Daten-Materialien'!H74&lt;140),'Berechnung-WÜ-Material'!$AP$110,IF('Daten-Materialien'!H74&gt;140,'Berechnung-WÜ-Material'!$AQ$110,"FEHLER"))))))</f>
        <v>1.4830749679207913</v>
      </c>
      <c r="R74" s="241">
        <f>IF(E74&lt;0.1,'Berechnung-WÜ-Material'!$AS$110,IF(AND(E74&gt;=0.1,E74&lt;0.3),'Berechnung-WÜ-Material'!$AT$110,IF(AND('Daten-Materialien'!E74&gt;=0.3,'Daten-Materialien'!E74&lt;0.6),'Berechnung-WÜ-Material'!$AU$110,IF(AND(E74&gt;=0.6,E74&lt;1),'Berechnung-WÜ-Material'!$AV$110,IF(AND('Daten-Materialien'!E74&gt;=1,'Daten-Materialien'!E74&lt;1.5),'Berechnung-WÜ-Material'!$AW$110,IF('Daten-Materialien'!E74&gt;1.5,'Berechnung-WÜ-Material'!$AX$110,"FEHLER"))))))</f>
        <v>5.4090960472347849</v>
      </c>
      <c r="S74" s="241">
        <f>IF(K74&lt;15,'Berechnung-WÜ-Material'!$AZ$110,IF(AND(K74&gt;=15,K74&lt;30),'Berechnung-WÜ-Material'!$BA$110,IF(AND('Daten-Materialien'!K74&gt;=30,'Daten-Materialien'!K74&lt;45),'Berechnung-WÜ-Material'!$BB$110,IF(AND(K74&gt;=45,K74&lt;60),'Berechnung-WÜ-Material'!$BC$110,IF(AND('Daten-Materialien'!K74&gt;=60,'Daten-Materialien'!K74&lt;75),'Berechnung-WÜ-Material'!$BD$110,IF('Daten-Materialien'!K74&gt;75,'Berechnung-WÜ-Material'!$BE$110,"FEHLER"))))))</f>
        <v>5.9436257603083487</v>
      </c>
      <c r="T74" s="241">
        <f>SUM(Q74:S74)+(L74*3*'Berechnung-WÜ-Material'!$G$22)</f>
        <v>12.835796775463924</v>
      </c>
      <c r="U74" s="241">
        <f t="shared" si="12"/>
        <v>36.428876949965996</v>
      </c>
      <c r="V74" s="241">
        <f>100/'Berechnung-WÜ-Material'!$BF$112*'Daten-Materialien'!T74</f>
        <v>62.65476587300077</v>
      </c>
      <c r="W74" s="241">
        <f t="shared" si="13"/>
        <v>169</v>
      </c>
      <c r="X74" s="241" t="str">
        <f t="shared" si="16"/>
        <v/>
      </c>
      <c r="Y74" s="241">
        <f t="shared" si="17"/>
        <v>1</v>
      </c>
      <c r="Z74" s="241" t="str">
        <f t="shared" si="18"/>
        <v/>
      </c>
      <c r="AB74" s="241" t="s">
        <v>885</v>
      </c>
    </row>
    <row r="75" spans="1:28" ht="51.75" x14ac:dyDescent="0.25">
      <c r="A75" s="241" t="str">
        <f t="shared" si="14"/>
        <v/>
      </c>
      <c r="B75" s="241" t="s">
        <v>900</v>
      </c>
      <c r="D75" s="337">
        <v>0.04</v>
      </c>
      <c r="E75" s="241">
        <f t="shared" si="15"/>
        <v>0.04</v>
      </c>
      <c r="G75" s="241">
        <v>60</v>
      </c>
      <c r="H75" s="241">
        <f t="shared" si="10"/>
        <v>60</v>
      </c>
      <c r="J75" s="241">
        <v>25</v>
      </c>
      <c r="K75" s="241">
        <f t="shared" si="11"/>
        <v>25</v>
      </c>
      <c r="L75" s="241">
        <v>0</v>
      </c>
      <c r="M75" s="241">
        <f>-(2-1.4)/2*100</f>
        <v>-30.000000000000004</v>
      </c>
      <c r="N75" s="130" t="s">
        <v>628</v>
      </c>
      <c r="O75" s="130"/>
      <c r="P75" s="130"/>
      <c r="Q75" s="241">
        <f>IF(H75&lt;60,'Berechnung-WÜ-Material'!$AL$110,IF(AND(H75&gt;=60,H75&lt;80),'Berechnung-WÜ-Material'!$AM$110,IF(AND('Daten-Materialien'!H75&gt;=80,'Daten-Materialien'!H75&lt;100),'Berechnung-WÜ-Material'!$AN$110,IF(AND(H75&gt;=100,H75&lt;120),'Berechnung-WÜ-Material'!$AO$110,IF(AND('Daten-Materialien'!H75&gt;=120,'Daten-Materialien'!H75&lt;140),'Berechnung-WÜ-Material'!$AP$110,IF('Daten-Materialien'!H75&gt;140,'Berechnung-WÜ-Material'!$AQ$110,"FEHLER"))))))</f>
        <v>1.4830749679207913</v>
      </c>
      <c r="R75" s="241">
        <f>IF(E75&lt;0.1,'Berechnung-WÜ-Material'!$AS$110,IF(AND(E75&gt;=0.1,E75&lt;0.3),'Berechnung-WÜ-Material'!$AT$110,IF(AND('Daten-Materialien'!E75&gt;=0.3,'Daten-Materialien'!E75&lt;0.6),'Berechnung-WÜ-Material'!$AU$110,IF(AND(E75&gt;=0.6,E75&lt;1),'Berechnung-WÜ-Material'!$AV$110,IF(AND('Daten-Materialien'!E75&gt;=1,'Daten-Materialien'!E75&lt;1.5),'Berechnung-WÜ-Material'!$AW$110,IF('Daten-Materialien'!E75&gt;1.5,'Berechnung-WÜ-Material'!$AX$110,"FEHLER"))))))</f>
        <v>5.4090960472347849</v>
      </c>
      <c r="S75" s="241">
        <f>IF(K75&lt;15,'Berechnung-WÜ-Material'!$AZ$110,IF(AND(K75&gt;=15,K75&lt;30),'Berechnung-WÜ-Material'!$BA$110,IF(AND('Daten-Materialien'!K75&gt;=30,'Daten-Materialien'!K75&lt;45),'Berechnung-WÜ-Material'!$BB$110,IF(AND(K75&gt;=45,K75&lt;60),'Berechnung-WÜ-Material'!$BC$110,IF(AND('Daten-Materialien'!K75&gt;=60,'Daten-Materialien'!K75&lt;75),'Berechnung-WÜ-Material'!$BD$110,IF('Daten-Materialien'!K75&gt;75,'Berechnung-WÜ-Material'!$BE$110,"FEHLER"))))))</f>
        <v>5.3164008462907759</v>
      </c>
      <c r="T75" s="241">
        <f>SUM(Q75:S75)+(L75*3*'Berechnung-WÜ-Material'!$G$22)</f>
        <v>12.208571861446352</v>
      </c>
      <c r="U75" s="241">
        <f t="shared" si="12"/>
        <v>34.105821712678029</v>
      </c>
      <c r="V75" s="241">
        <f>100/'Berechnung-WÜ-Material'!$BF$112*'Daten-Materialien'!T75</f>
        <v>59.593122655603878</v>
      </c>
      <c r="W75" s="241">
        <f t="shared" si="13"/>
        <v>196</v>
      </c>
      <c r="X75" s="241" t="str">
        <f t="shared" si="16"/>
        <v/>
      </c>
      <c r="Y75" s="241">
        <f t="shared" si="17"/>
        <v>1</v>
      </c>
      <c r="Z75" s="241" t="str">
        <f t="shared" si="18"/>
        <v/>
      </c>
      <c r="AB75" s="241" t="s">
        <v>860</v>
      </c>
    </row>
    <row r="76" spans="1:28" ht="51.75" x14ac:dyDescent="0.25">
      <c r="A76" s="241" t="str">
        <f t="shared" si="14"/>
        <v/>
      </c>
      <c r="B76" s="241" t="s">
        <v>668</v>
      </c>
      <c r="D76" s="337">
        <v>0.04</v>
      </c>
      <c r="E76" s="241">
        <f t="shared" si="15"/>
        <v>0.04</v>
      </c>
      <c r="G76" s="241">
        <v>78</v>
      </c>
      <c r="H76" s="241">
        <f t="shared" si="10"/>
        <v>78</v>
      </c>
      <c r="J76" s="241">
        <v>28</v>
      </c>
      <c r="K76" s="241">
        <f t="shared" si="11"/>
        <v>28</v>
      </c>
      <c r="L76" s="241">
        <v>0</v>
      </c>
      <c r="M76" s="241">
        <f>-(2-0.6)/2*100</f>
        <v>-70</v>
      </c>
      <c r="N76" s="130" t="s">
        <v>628</v>
      </c>
      <c r="O76" s="130"/>
      <c r="P76" s="130"/>
      <c r="Q76" s="241">
        <f>IF(H76&lt;60,'Berechnung-WÜ-Material'!$AL$110,IF(AND(H76&gt;=60,H76&lt;80),'Berechnung-WÜ-Material'!$AM$110,IF(AND('Daten-Materialien'!H76&gt;=80,'Daten-Materialien'!H76&lt;100),'Berechnung-WÜ-Material'!$AN$110,IF(AND(H76&gt;=100,H76&lt;120),'Berechnung-WÜ-Material'!$AO$110,IF(AND('Daten-Materialien'!H76&gt;=120,'Daten-Materialien'!H76&lt;140),'Berechnung-WÜ-Material'!$AP$110,IF('Daten-Materialien'!H76&gt;140,'Berechnung-WÜ-Material'!$AQ$110,"FEHLER"))))))</f>
        <v>1.4830749679207913</v>
      </c>
      <c r="R76" s="241">
        <f>IF(E76&lt;0.1,'Berechnung-WÜ-Material'!$AS$110,IF(AND(E76&gt;=0.1,E76&lt;0.3),'Berechnung-WÜ-Material'!$AT$110,IF(AND('Daten-Materialien'!E76&gt;=0.3,'Daten-Materialien'!E76&lt;0.6),'Berechnung-WÜ-Material'!$AU$110,IF(AND(E76&gt;=0.6,E76&lt;1),'Berechnung-WÜ-Material'!$AV$110,IF(AND('Daten-Materialien'!E76&gt;=1,'Daten-Materialien'!E76&lt;1.5),'Berechnung-WÜ-Material'!$AW$110,IF('Daten-Materialien'!E76&gt;1.5,'Berechnung-WÜ-Material'!$AX$110,"FEHLER"))))))</f>
        <v>5.4090960472347849</v>
      </c>
      <c r="S76" s="241">
        <f>IF(K76&lt;15,'Berechnung-WÜ-Material'!$AZ$110,IF(AND(K76&gt;=15,K76&lt;30),'Berechnung-WÜ-Material'!$BA$110,IF(AND('Daten-Materialien'!K76&gt;=30,'Daten-Materialien'!K76&lt;45),'Berechnung-WÜ-Material'!$BB$110,IF(AND(K76&gt;=45,K76&lt;60),'Berechnung-WÜ-Material'!$BC$110,IF(AND('Daten-Materialien'!K76&gt;=60,'Daten-Materialien'!K76&lt;75),'Berechnung-WÜ-Material'!$BD$110,IF('Daten-Materialien'!K76&gt;75,'Berechnung-WÜ-Material'!$BE$110,"FEHLER"))))))</f>
        <v>5.3164008462907759</v>
      </c>
      <c r="T76" s="241">
        <f>SUM(Q76:S76)+(L76*3*'Berechnung-WÜ-Material'!$G$22)</f>
        <v>12.208571861446352</v>
      </c>
      <c r="U76" s="241">
        <f t="shared" si="12"/>
        <v>34.105821712678029</v>
      </c>
      <c r="V76" s="241">
        <f>100/'Berechnung-WÜ-Material'!$BF$112*'Daten-Materialien'!T76</f>
        <v>59.593122655603878</v>
      </c>
      <c r="W76" s="241">
        <f t="shared" si="13"/>
        <v>196</v>
      </c>
      <c r="X76" s="241" t="str">
        <f t="shared" si="16"/>
        <v/>
      </c>
      <c r="Y76" s="241">
        <f t="shared" si="17"/>
        <v>1</v>
      </c>
      <c r="Z76" s="241" t="str">
        <f t="shared" si="18"/>
        <v/>
      </c>
      <c r="AB76" s="241" t="s">
        <v>645</v>
      </c>
    </row>
    <row r="77" spans="1:28" ht="51.75" customHeight="1" x14ac:dyDescent="0.25">
      <c r="A77" s="241" t="str">
        <f t="shared" si="14"/>
        <v/>
      </c>
      <c r="B77" s="241" t="s">
        <v>889</v>
      </c>
      <c r="D77" s="337">
        <v>0.04</v>
      </c>
      <c r="E77" s="241">
        <f t="shared" si="15"/>
        <v>0.04</v>
      </c>
      <c r="G77" s="241">
        <v>61</v>
      </c>
      <c r="H77" s="241">
        <f t="shared" si="10"/>
        <v>61</v>
      </c>
      <c r="J77" s="241">
        <v>33</v>
      </c>
      <c r="K77" s="241">
        <f t="shared" si="11"/>
        <v>33</v>
      </c>
      <c r="L77" s="241">
        <v>0</v>
      </c>
      <c r="M77" s="241">
        <v>0</v>
      </c>
      <c r="N77" s="130" t="s">
        <v>628</v>
      </c>
      <c r="O77" s="130"/>
      <c r="P77" s="130"/>
      <c r="Q77" s="241">
        <f>IF(H77&lt;60,'Berechnung-WÜ-Material'!$AL$110,IF(AND(H77&gt;=60,H77&lt;80),'Berechnung-WÜ-Material'!$AM$110,IF(AND('Daten-Materialien'!H77&gt;=80,'Daten-Materialien'!H77&lt;100),'Berechnung-WÜ-Material'!$AN$110,IF(AND(H77&gt;=100,H77&lt;120),'Berechnung-WÜ-Material'!$AO$110,IF(AND('Daten-Materialien'!H77&gt;=120,'Daten-Materialien'!H77&lt;140),'Berechnung-WÜ-Material'!$AP$110,IF('Daten-Materialien'!H77&gt;140,'Berechnung-WÜ-Material'!$AQ$110,"FEHLER"))))))</f>
        <v>1.4830749679207913</v>
      </c>
      <c r="R77" s="241">
        <f>IF(E77&lt;0.1,'Berechnung-WÜ-Material'!$AS$110,IF(AND(E77&gt;=0.1,E77&lt;0.3),'Berechnung-WÜ-Material'!$AT$110,IF(AND('Daten-Materialien'!E77&gt;=0.3,'Daten-Materialien'!E77&lt;0.6),'Berechnung-WÜ-Material'!$AU$110,IF(AND(E77&gt;=0.6,E77&lt;1),'Berechnung-WÜ-Material'!$AV$110,IF(AND('Daten-Materialien'!E77&gt;=1,'Daten-Materialien'!E77&lt;1.5),'Berechnung-WÜ-Material'!$AW$110,IF('Daten-Materialien'!E77&gt;1.5,'Berechnung-WÜ-Material'!$AX$110,"FEHLER"))))))</f>
        <v>5.4090960472347849</v>
      </c>
      <c r="S77" s="241">
        <f>IF(K77&lt;15,'Berechnung-WÜ-Material'!$AZ$110,IF(AND(K77&gt;=15,K77&lt;30),'Berechnung-WÜ-Material'!$BA$110,IF(AND('Daten-Materialien'!K77&gt;=30,'Daten-Materialien'!K77&lt;45),'Berechnung-WÜ-Material'!$BB$110,IF(AND(K77&gt;=45,K77&lt;60),'Berechnung-WÜ-Material'!$BC$110,IF(AND('Daten-Materialien'!K77&gt;=60,'Daten-Materialien'!K77&lt;75),'Berechnung-WÜ-Material'!$BD$110,IF('Daten-Materialien'!K77&gt;75,'Berechnung-WÜ-Material'!$BE$110,"FEHLER"))))))</f>
        <v>5.9436257603083487</v>
      </c>
      <c r="T77" s="241">
        <f>SUM(Q77:S77)+(L77*3*'Berechnung-WÜ-Material'!$G$22)</f>
        <v>12.835796775463924</v>
      </c>
      <c r="U77" s="241">
        <f t="shared" si="12"/>
        <v>36.428876949965996</v>
      </c>
      <c r="V77" s="241">
        <f>100/'Berechnung-WÜ-Material'!$BF$112*'Daten-Materialien'!T77</f>
        <v>62.65476587300077</v>
      </c>
      <c r="W77" s="241">
        <f t="shared" si="13"/>
        <v>169</v>
      </c>
      <c r="X77" s="241" t="str">
        <f t="shared" si="16"/>
        <v/>
      </c>
      <c r="Y77" s="241">
        <f t="shared" si="17"/>
        <v>1</v>
      </c>
      <c r="Z77" s="241" t="str">
        <f t="shared" si="18"/>
        <v/>
      </c>
      <c r="AB77" s="241" t="s">
        <v>648</v>
      </c>
    </row>
    <row r="78" spans="1:28" ht="51.75" x14ac:dyDescent="0.25">
      <c r="A78" s="241" t="str">
        <f t="shared" si="14"/>
        <v/>
      </c>
      <c r="B78" s="241" t="s">
        <v>855</v>
      </c>
      <c r="D78" s="241">
        <v>0.03</v>
      </c>
      <c r="E78" s="241">
        <f t="shared" si="15"/>
        <v>0.03</v>
      </c>
      <c r="G78" s="337">
        <v>84</v>
      </c>
      <c r="H78" s="241">
        <f t="shared" si="10"/>
        <v>84</v>
      </c>
      <c r="J78" s="337">
        <v>42</v>
      </c>
      <c r="K78" s="241">
        <f t="shared" si="11"/>
        <v>42</v>
      </c>
      <c r="L78" s="241">
        <v>0</v>
      </c>
      <c r="M78" s="241">
        <v>0</v>
      </c>
      <c r="N78" s="130" t="s">
        <v>657</v>
      </c>
      <c r="O78" s="130"/>
      <c r="P78" s="130"/>
      <c r="Q78" s="241">
        <f>IF(H78&lt;60,'Berechnung-WÜ-Material'!$AL$110,IF(AND(H78&gt;=60,H78&lt;80),'Berechnung-WÜ-Material'!$AM$110,IF(AND('Daten-Materialien'!H78&gt;=80,'Daten-Materialien'!H78&lt;100),'Berechnung-WÜ-Material'!$AN$110,IF(AND(H78&gt;=100,H78&lt;120),'Berechnung-WÜ-Material'!$AO$110,IF(AND('Daten-Materialien'!H78&gt;=120,'Daten-Materialien'!H78&lt;140),'Berechnung-WÜ-Material'!$AP$110,IF('Daten-Materialien'!H78&gt;140,'Berechnung-WÜ-Material'!$AQ$110,"FEHLER"))))))</f>
        <v>2.9517194566014666</v>
      </c>
      <c r="R78" s="241">
        <f>IF(E78&lt;0.1,'Berechnung-WÜ-Material'!$AS$110,IF(AND(E78&gt;=0.1,E78&lt;0.3),'Berechnung-WÜ-Material'!$AT$110,IF(AND('Daten-Materialien'!E78&gt;=0.3,'Daten-Materialien'!E78&lt;0.6),'Berechnung-WÜ-Material'!$AU$110,IF(AND(E78&gt;=0.6,E78&lt;1),'Berechnung-WÜ-Material'!$AV$110,IF(AND('Daten-Materialien'!E78&gt;=1,'Daten-Materialien'!E78&lt;1.5),'Berechnung-WÜ-Material'!$AW$110,IF('Daten-Materialien'!E78&gt;1.5,'Berechnung-WÜ-Material'!$AX$110,"FEHLER"))))))</f>
        <v>5.4090960472347849</v>
      </c>
      <c r="S78" s="241">
        <f>IF(K78&lt;15,'Berechnung-WÜ-Material'!$AZ$110,IF(AND(K78&gt;=15,K78&lt;30),'Berechnung-WÜ-Material'!$BA$110,IF(AND('Daten-Materialien'!K78&gt;=30,'Daten-Materialien'!K78&lt;45),'Berechnung-WÜ-Material'!$BB$110,IF(AND(K78&gt;=45,K78&lt;60),'Berechnung-WÜ-Material'!$BC$110,IF(AND('Daten-Materialien'!K78&gt;=60,'Daten-Materialien'!K78&lt;75),'Berechnung-WÜ-Material'!$BD$110,IF('Daten-Materialien'!K78&gt;75,'Berechnung-WÜ-Material'!$BE$110,"FEHLER"))))))</f>
        <v>5.9436257603083487</v>
      </c>
      <c r="T78" s="241">
        <f>SUM(Q78:S78)+(L78*3*'Berechnung-WÜ-Material'!$G$22)</f>
        <v>14.3044412641446</v>
      </c>
      <c r="U78" s="241">
        <f t="shared" si="12"/>
        <v>41.868300982551801</v>
      </c>
      <c r="V78" s="241">
        <f>100/'Berechnung-WÜ-Material'!$BF$112*'Daten-Materialien'!T78</f>
        <v>69.82359054346108</v>
      </c>
      <c r="W78" s="241">
        <f t="shared" si="13"/>
        <v>115</v>
      </c>
      <c r="X78" s="241" t="str">
        <f t="shared" si="16"/>
        <v/>
      </c>
      <c r="Y78" s="241">
        <f t="shared" si="17"/>
        <v>1</v>
      </c>
      <c r="Z78" s="241" t="str">
        <f t="shared" si="18"/>
        <v/>
      </c>
      <c r="AB78" s="241" t="s">
        <v>647</v>
      </c>
    </row>
    <row r="79" spans="1:28" ht="51.75" x14ac:dyDescent="0.25">
      <c r="A79" s="241" t="str">
        <f t="shared" si="14"/>
        <v/>
      </c>
      <c r="B79" s="241" t="s">
        <v>901</v>
      </c>
      <c r="D79" s="241">
        <v>2.4E-2</v>
      </c>
      <c r="E79" s="241">
        <f t="shared" si="15"/>
        <v>2.4E-2</v>
      </c>
      <c r="G79" s="337">
        <v>64</v>
      </c>
      <c r="H79" s="241">
        <f t="shared" si="10"/>
        <v>64</v>
      </c>
      <c r="J79" s="337">
        <v>42</v>
      </c>
      <c r="K79" s="241">
        <f t="shared" si="11"/>
        <v>42</v>
      </c>
      <c r="L79" s="241">
        <v>0</v>
      </c>
      <c r="M79" s="241">
        <v>-20</v>
      </c>
      <c r="N79" s="130" t="s">
        <v>657</v>
      </c>
      <c r="O79" s="130"/>
      <c r="P79" s="130"/>
      <c r="Q79" s="241">
        <f>IF(H79&lt;60,'Berechnung-WÜ-Material'!$AL$110,IF(AND(H79&gt;=60,H79&lt;80),'Berechnung-WÜ-Material'!$AM$110,IF(AND('Daten-Materialien'!H79&gt;=80,'Daten-Materialien'!H79&lt;100),'Berechnung-WÜ-Material'!$AN$110,IF(AND(H79&gt;=100,H79&lt;120),'Berechnung-WÜ-Material'!$AO$110,IF(AND('Daten-Materialien'!H79&gt;=120,'Daten-Materialien'!H79&lt;140),'Berechnung-WÜ-Material'!$AP$110,IF('Daten-Materialien'!H79&gt;140,'Berechnung-WÜ-Material'!$AQ$110,"FEHLER"))))))</f>
        <v>1.4830749679207913</v>
      </c>
      <c r="R79" s="241">
        <f>IF(E79&lt;0.1,'Berechnung-WÜ-Material'!$AS$110,IF(AND(E79&gt;=0.1,E79&lt;0.3),'Berechnung-WÜ-Material'!$AT$110,IF(AND('Daten-Materialien'!E79&gt;=0.3,'Daten-Materialien'!E79&lt;0.6),'Berechnung-WÜ-Material'!$AU$110,IF(AND(E79&gt;=0.6,E79&lt;1),'Berechnung-WÜ-Material'!$AV$110,IF(AND('Daten-Materialien'!E79&gt;=1,'Daten-Materialien'!E79&lt;1.5),'Berechnung-WÜ-Material'!$AW$110,IF('Daten-Materialien'!E79&gt;1.5,'Berechnung-WÜ-Material'!$AX$110,"FEHLER"))))))</f>
        <v>5.4090960472347849</v>
      </c>
      <c r="S79" s="241">
        <f>IF(K79&lt;15,'Berechnung-WÜ-Material'!$AZ$110,IF(AND(K79&gt;=15,K79&lt;30),'Berechnung-WÜ-Material'!$BA$110,IF(AND('Daten-Materialien'!K79&gt;=30,'Daten-Materialien'!K79&lt;45),'Berechnung-WÜ-Material'!$BB$110,IF(AND(K79&gt;=45,K79&lt;60),'Berechnung-WÜ-Material'!$BC$110,IF(AND('Daten-Materialien'!K79&gt;=60,'Daten-Materialien'!K79&lt;75),'Berechnung-WÜ-Material'!$BD$110,IF('Daten-Materialien'!K79&gt;75,'Berechnung-WÜ-Material'!$BE$110,"FEHLER"))))))</f>
        <v>5.9436257603083487</v>
      </c>
      <c r="T79" s="241">
        <f>SUM(Q79:S79)+(L79*3*'Berechnung-WÜ-Material'!$G$22)</f>
        <v>12.835796775463924</v>
      </c>
      <c r="U79" s="241">
        <f t="shared" si="12"/>
        <v>36.428876949965996</v>
      </c>
      <c r="V79" s="241">
        <f>100/'Berechnung-WÜ-Material'!$BF$112*'Daten-Materialien'!T79</f>
        <v>62.65476587300077</v>
      </c>
      <c r="W79" s="241">
        <f t="shared" si="13"/>
        <v>169</v>
      </c>
      <c r="X79" s="241" t="str">
        <f t="shared" si="16"/>
        <v/>
      </c>
      <c r="Y79" s="241">
        <f t="shared" si="17"/>
        <v>1</v>
      </c>
      <c r="Z79" s="241" t="str">
        <f t="shared" si="18"/>
        <v/>
      </c>
      <c r="AB79" s="241" t="s">
        <v>644</v>
      </c>
    </row>
    <row r="80" spans="1:28" ht="51.75" x14ac:dyDescent="0.25">
      <c r="A80" s="241" t="str">
        <f t="shared" si="14"/>
        <v/>
      </c>
      <c r="B80" s="241" t="s">
        <v>892</v>
      </c>
      <c r="D80" s="241">
        <v>2.5000000000000001E-2</v>
      </c>
      <c r="E80" s="241">
        <f t="shared" si="15"/>
        <v>2.5000000000000001E-2</v>
      </c>
      <c r="G80" s="337">
        <v>64</v>
      </c>
      <c r="H80" s="241">
        <f t="shared" si="10"/>
        <v>64</v>
      </c>
      <c r="J80" s="337">
        <v>42</v>
      </c>
      <c r="K80" s="241">
        <f t="shared" si="11"/>
        <v>42</v>
      </c>
      <c r="L80" s="241">
        <v>0</v>
      </c>
      <c r="M80" s="241">
        <v>5</v>
      </c>
      <c r="N80" s="130" t="s">
        <v>657</v>
      </c>
      <c r="O80" s="130"/>
      <c r="P80" s="130"/>
      <c r="Q80" s="241">
        <f>IF(H80&lt;60,'Berechnung-WÜ-Material'!$AL$110,IF(AND(H80&gt;=60,H80&lt;80),'Berechnung-WÜ-Material'!$AM$110,IF(AND('Daten-Materialien'!H80&gt;=80,'Daten-Materialien'!H80&lt;100),'Berechnung-WÜ-Material'!$AN$110,IF(AND(H80&gt;=100,H80&lt;120),'Berechnung-WÜ-Material'!$AO$110,IF(AND('Daten-Materialien'!H80&gt;=120,'Daten-Materialien'!H80&lt;140),'Berechnung-WÜ-Material'!$AP$110,IF('Daten-Materialien'!H80&gt;140,'Berechnung-WÜ-Material'!$AQ$110,"FEHLER"))))))</f>
        <v>1.4830749679207913</v>
      </c>
      <c r="R80" s="241">
        <f>IF(E80&lt;0.1,'Berechnung-WÜ-Material'!$AS$110,IF(AND(E80&gt;=0.1,E80&lt;0.3),'Berechnung-WÜ-Material'!$AT$110,IF(AND('Daten-Materialien'!E80&gt;=0.3,'Daten-Materialien'!E80&lt;0.6),'Berechnung-WÜ-Material'!$AU$110,IF(AND(E80&gt;=0.6,E80&lt;1),'Berechnung-WÜ-Material'!$AV$110,IF(AND('Daten-Materialien'!E80&gt;=1,'Daten-Materialien'!E80&lt;1.5),'Berechnung-WÜ-Material'!$AW$110,IF('Daten-Materialien'!E80&gt;1.5,'Berechnung-WÜ-Material'!$AX$110,"FEHLER"))))))</f>
        <v>5.4090960472347849</v>
      </c>
      <c r="S80" s="241">
        <f>IF(K80&lt;15,'Berechnung-WÜ-Material'!$AZ$110,IF(AND(K80&gt;=15,K80&lt;30),'Berechnung-WÜ-Material'!$BA$110,IF(AND('Daten-Materialien'!K80&gt;=30,'Daten-Materialien'!K80&lt;45),'Berechnung-WÜ-Material'!$BB$110,IF(AND(K80&gt;=45,K80&lt;60),'Berechnung-WÜ-Material'!$BC$110,IF(AND('Daten-Materialien'!K80&gt;=60,'Daten-Materialien'!K80&lt;75),'Berechnung-WÜ-Material'!$BD$110,IF('Daten-Materialien'!K80&gt;75,'Berechnung-WÜ-Material'!$BE$110,"FEHLER"))))))</f>
        <v>5.9436257603083487</v>
      </c>
      <c r="T80" s="241">
        <f>SUM(Q80:S80)+(L80*3*'Berechnung-WÜ-Material'!$G$22)</f>
        <v>12.835796775463924</v>
      </c>
      <c r="U80" s="241">
        <f t="shared" si="12"/>
        <v>36.428876949965996</v>
      </c>
      <c r="V80" s="241">
        <f>100/'Berechnung-WÜ-Material'!$BF$112*'Daten-Materialien'!T80</f>
        <v>62.65476587300077</v>
      </c>
      <c r="W80" s="241">
        <f t="shared" si="13"/>
        <v>169</v>
      </c>
      <c r="X80" s="241" t="str">
        <f t="shared" si="16"/>
        <v/>
      </c>
      <c r="Y80" s="241">
        <f t="shared" si="17"/>
        <v>1</v>
      </c>
      <c r="Z80" s="241" t="str">
        <f t="shared" si="18"/>
        <v/>
      </c>
      <c r="AB80" s="241" t="s">
        <v>887</v>
      </c>
    </row>
    <row r="81" spans="1:28" ht="51.75" x14ac:dyDescent="0.25">
      <c r="A81" s="241" t="str">
        <f t="shared" si="14"/>
        <v/>
      </c>
      <c r="B81" s="241" t="s">
        <v>669</v>
      </c>
      <c r="D81" s="241">
        <v>0.02</v>
      </c>
      <c r="E81" s="241">
        <f t="shared" si="15"/>
        <v>0.02</v>
      </c>
      <c r="G81" s="337">
        <v>64</v>
      </c>
      <c r="H81" s="241">
        <f t="shared" si="10"/>
        <v>64</v>
      </c>
      <c r="J81" s="337">
        <v>42</v>
      </c>
      <c r="K81" s="241">
        <f t="shared" si="11"/>
        <v>42</v>
      </c>
      <c r="L81" s="241">
        <v>0.5</v>
      </c>
      <c r="M81" s="241">
        <v>-2</v>
      </c>
      <c r="N81" s="130" t="s">
        <v>657</v>
      </c>
      <c r="O81" s="130"/>
      <c r="P81" s="130"/>
      <c r="Q81" s="241">
        <f>IF(H81&lt;60,'Berechnung-WÜ-Material'!$AL$110,IF(AND(H81&gt;=60,H81&lt;80),'Berechnung-WÜ-Material'!$AM$110,IF(AND('Daten-Materialien'!H81&gt;=80,'Daten-Materialien'!H81&lt;100),'Berechnung-WÜ-Material'!$AN$110,IF(AND(H81&gt;=100,H81&lt;120),'Berechnung-WÜ-Material'!$AO$110,IF(AND('Daten-Materialien'!H81&gt;=120,'Daten-Materialien'!H81&lt;140),'Berechnung-WÜ-Material'!$AP$110,IF('Daten-Materialien'!H81&gt;140,'Berechnung-WÜ-Material'!$AQ$110,"FEHLER"))))))</f>
        <v>1.4830749679207913</v>
      </c>
      <c r="R81" s="241">
        <f>IF(E81&lt;0.1,'Berechnung-WÜ-Material'!$AS$110,IF(AND(E81&gt;=0.1,E81&lt;0.3),'Berechnung-WÜ-Material'!$AT$110,IF(AND('Daten-Materialien'!E81&gt;=0.3,'Daten-Materialien'!E81&lt;0.6),'Berechnung-WÜ-Material'!$AU$110,IF(AND(E81&gt;=0.6,E81&lt;1),'Berechnung-WÜ-Material'!$AV$110,IF(AND('Daten-Materialien'!E81&gt;=1,'Daten-Materialien'!E81&lt;1.5),'Berechnung-WÜ-Material'!$AW$110,IF('Daten-Materialien'!E81&gt;1.5,'Berechnung-WÜ-Material'!$AX$110,"FEHLER"))))))</f>
        <v>5.4090960472347849</v>
      </c>
      <c r="S81" s="241">
        <f>IF(K81&lt;15,'Berechnung-WÜ-Material'!$AZ$110,IF(AND(K81&gt;=15,K81&lt;30),'Berechnung-WÜ-Material'!$BA$110,IF(AND('Daten-Materialien'!K81&gt;=30,'Daten-Materialien'!K81&lt;45),'Berechnung-WÜ-Material'!$BB$110,IF(AND(K81&gt;=45,K81&lt;60),'Berechnung-WÜ-Material'!$BC$110,IF(AND('Daten-Materialien'!K81&gt;=60,'Daten-Materialien'!K81&lt;75),'Berechnung-WÜ-Material'!$BD$110,IF('Daten-Materialien'!K81&gt;75,'Berechnung-WÜ-Material'!$BE$110,"FEHLER"))))))</f>
        <v>5.9436257603083487</v>
      </c>
      <c r="T81" s="241">
        <f>SUM(Q81:S81)+(L81*3*'Berechnung-WÜ-Material'!$G$22)</f>
        <v>13.663906569295772</v>
      </c>
      <c r="U81" s="241">
        <f t="shared" si="12"/>
        <v>39.495950260699686</v>
      </c>
      <c r="V81" s="241">
        <f>100/'Berechnung-WÜ-Material'!$BF$112*'Daten-Materialien'!T81</f>
        <v>66.696978924305341</v>
      </c>
      <c r="W81" s="241">
        <f t="shared" si="13"/>
        <v>149</v>
      </c>
      <c r="X81" s="241" t="str">
        <f t="shared" si="16"/>
        <v/>
      </c>
      <c r="Y81" s="241">
        <f t="shared" si="17"/>
        <v>1</v>
      </c>
      <c r="Z81" s="241" t="str">
        <f t="shared" si="18"/>
        <v/>
      </c>
      <c r="AB81" s="241" t="s">
        <v>886</v>
      </c>
    </row>
    <row r="82" spans="1:28" ht="39" x14ac:dyDescent="0.25">
      <c r="A82" s="241" t="str">
        <f t="shared" si="14"/>
        <v/>
      </c>
      <c r="B82" s="241" t="s">
        <v>670</v>
      </c>
      <c r="D82" s="241">
        <v>0.02</v>
      </c>
      <c r="E82" s="241">
        <f t="shared" si="15"/>
        <v>0.02</v>
      </c>
      <c r="G82" s="339">
        <v>5.4</v>
      </c>
      <c r="H82" s="241">
        <f t="shared" si="10"/>
        <v>5.4</v>
      </c>
      <c r="J82" s="339">
        <v>56</v>
      </c>
      <c r="K82" s="241">
        <f t="shared" si="11"/>
        <v>56</v>
      </c>
      <c r="L82" s="241">
        <v>0</v>
      </c>
      <c r="M82" s="241">
        <f>-(6.5-4.2)/6.5*100</f>
        <v>-35.38461538461538</v>
      </c>
      <c r="N82" s="130" t="s">
        <v>671</v>
      </c>
      <c r="O82" s="130"/>
      <c r="P82" s="130"/>
      <c r="Q82" s="241">
        <f>IF(H82&lt;60,'Berechnung-WÜ-Material'!$AL$110,IF(AND(H82&gt;=60,H82&lt;80),'Berechnung-WÜ-Material'!$AM$110,IF(AND('Daten-Materialien'!H82&gt;=80,'Daten-Materialien'!H82&lt;100),'Berechnung-WÜ-Material'!$AN$110,IF(AND(H82&gt;=100,H82&lt;120),'Berechnung-WÜ-Material'!$AO$110,IF(AND('Daten-Materialien'!H82&gt;=120,'Daten-Materialien'!H82&lt;140),'Berechnung-WÜ-Material'!$AP$110,IF('Daten-Materialien'!H82&gt;140,'Berechnung-WÜ-Material'!$AQ$110,"FEHLER"))))))</f>
        <v>2.2063369805171464</v>
      </c>
      <c r="R82" s="241">
        <f>IF(E82&lt;0.1,'Berechnung-WÜ-Material'!$AS$110,IF(AND(E82&gt;=0.1,E82&lt;0.3),'Berechnung-WÜ-Material'!$AT$110,IF(AND('Daten-Materialien'!E82&gt;=0.3,'Daten-Materialien'!E82&lt;0.6),'Berechnung-WÜ-Material'!$AU$110,IF(AND(E82&gt;=0.6,E82&lt;1),'Berechnung-WÜ-Material'!$AV$110,IF(AND('Daten-Materialien'!E82&gt;=1,'Daten-Materialien'!E82&lt;1.5),'Berechnung-WÜ-Material'!$AW$110,IF('Daten-Materialien'!E82&gt;1.5,'Berechnung-WÜ-Material'!$AX$110,"FEHLER"))))))</f>
        <v>5.4090960472347849</v>
      </c>
      <c r="S82" s="241">
        <f>IF(K82&lt;15,'Berechnung-WÜ-Material'!$AZ$110,IF(AND(K82&gt;=15,K82&lt;30),'Berechnung-WÜ-Material'!$BA$110,IF(AND('Daten-Materialien'!K82&gt;=30,'Daten-Materialien'!K82&lt;45),'Berechnung-WÜ-Material'!$BB$110,IF(AND(K82&gt;=45,K82&lt;60),'Berechnung-WÜ-Material'!$BC$110,IF(AND('Daten-Materialien'!K82&gt;=60,'Daten-Materialien'!K82&lt;75),'Berechnung-WÜ-Material'!$BD$110,IF('Daten-Materialien'!K82&gt;75,'Berechnung-WÜ-Material'!$BE$110,"FEHLER"))))))</f>
        <v>2.6681383364247617</v>
      </c>
      <c r="T82" s="241">
        <f>SUM(Q82:S82)+(L82*3*'Berechnung-WÜ-Material'!$G$22)</f>
        <v>10.283571364176694</v>
      </c>
      <c r="U82" s="241">
        <f t="shared" si="12"/>
        <v>26.976190240738553</v>
      </c>
      <c r="V82" s="241">
        <f>100/'Berechnung-WÜ-Material'!$BF$112*'Daten-Materialien'!T82</f>
        <v>50.196709049836016</v>
      </c>
      <c r="W82" s="241">
        <f t="shared" si="13"/>
        <v>211</v>
      </c>
      <c r="X82" s="241" t="str">
        <f t="shared" si="16"/>
        <v/>
      </c>
      <c r="Y82" s="241">
        <f t="shared" si="17"/>
        <v>1</v>
      </c>
      <c r="Z82" s="241" t="str">
        <f t="shared" si="18"/>
        <v/>
      </c>
      <c r="AB82" s="241" t="s">
        <v>739</v>
      </c>
    </row>
    <row r="83" spans="1:28" ht="39" x14ac:dyDescent="0.25">
      <c r="A83" s="241" t="str">
        <f t="shared" si="14"/>
        <v/>
      </c>
      <c r="B83" s="241" t="s">
        <v>896</v>
      </c>
      <c r="D83" s="241">
        <v>1.29E-2</v>
      </c>
      <c r="E83" s="241">
        <f t="shared" si="15"/>
        <v>1.29E-2</v>
      </c>
      <c r="G83" s="339">
        <v>15.4</v>
      </c>
      <c r="H83" s="241">
        <f t="shared" si="10"/>
        <v>15.4</v>
      </c>
      <c r="J83" s="339">
        <v>54</v>
      </c>
      <c r="K83" s="241">
        <f t="shared" si="11"/>
        <v>54</v>
      </c>
      <c r="L83" s="241">
        <v>0</v>
      </c>
      <c r="M83" s="241">
        <f>(4.3-6.5)/6.5*100</f>
        <v>-33.846153846153847</v>
      </c>
      <c r="N83" s="130" t="s">
        <v>671</v>
      </c>
      <c r="O83" s="130"/>
      <c r="P83" s="130"/>
      <c r="Q83" s="241">
        <f>IF(H83&lt;60,'Berechnung-WÜ-Material'!$AL$110,IF(AND(H83&gt;=60,H83&lt;80),'Berechnung-WÜ-Material'!$AM$110,IF(AND('Daten-Materialien'!H83&gt;=80,'Daten-Materialien'!H83&lt;100),'Berechnung-WÜ-Material'!$AN$110,IF(AND(H83&gt;=100,H83&lt;120),'Berechnung-WÜ-Material'!$AO$110,IF(AND('Daten-Materialien'!H83&gt;=120,'Daten-Materialien'!H83&lt;140),'Berechnung-WÜ-Material'!$AP$110,IF('Daten-Materialien'!H83&gt;140,'Berechnung-WÜ-Material'!$AQ$110,"FEHLER"))))))</f>
        <v>2.2063369805171464</v>
      </c>
      <c r="R83" s="241">
        <f>IF(E83&lt;0.1,'Berechnung-WÜ-Material'!$AS$110,IF(AND(E83&gt;=0.1,E83&lt;0.3),'Berechnung-WÜ-Material'!$AT$110,IF(AND('Daten-Materialien'!E83&gt;=0.3,'Daten-Materialien'!E83&lt;0.6),'Berechnung-WÜ-Material'!$AU$110,IF(AND(E83&gt;=0.6,E83&lt;1),'Berechnung-WÜ-Material'!$AV$110,IF(AND('Daten-Materialien'!E83&gt;=1,'Daten-Materialien'!E83&lt;1.5),'Berechnung-WÜ-Material'!$AW$110,IF('Daten-Materialien'!E83&gt;1.5,'Berechnung-WÜ-Material'!$AX$110,"FEHLER"))))))</f>
        <v>5.4090960472347849</v>
      </c>
      <c r="S83" s="241">
        <f>IF(K83&lt;15,'Berechnung-WÜ-Material'!$AZ$110,IF(AND(K83&gt;=15,K83&lt;30),'Berechnung-WÜ-Material'!$BA$110,IF(AND('Daten-Materialien'!K83&gt;=30,'Daten-Materialien'!K83&lt;45),'Berechnung-WÜ-Material'!$BB$110,IF(AND(K83&gt;=45,K83&lt;60),'Berechnung-WÜ-Material'!$BC$110,IF(AND('Daten-Materialien'!K83&gt;=60,'Daten-Materialien'!K83&lt;75),'Berechnung-WÜ-Material'!$BD$110,IF('Daten-Materialien'!K83&gt;75,'Berechnung-WÜ-Material'!$BE$110,"FEHLER"))))))</f>
        <v>2.6681383364247617</v>
      </c>
      <c r="T83" s="241">
        <f>SUM(Q83:S83)+(L83*3*'Berechnung-WÜ-Material'!$G$22)</f>
        <v>10.283571364176694</v>
      </c>
      <c r="U83" s="241">
        <f t="shared" si="12"/>
        <v>26.976190240738553</v>
      </c>
      <c r="V83" s="241">
        <f>100/'Berechnung-WÜ-Material'!$BF$112*'Daten-Materialien'!T83</f>
        <v>50.196709049836016</v>
      </c>
      <c r="W83" s="241">
        <f t="shared" si="13"/>
        <v>211</v>
      </c>
      <c r="X83" s="241" t="str">
        <f t="shared" si="16"/>
        <v/>
      </c>
      <c r="Y83" s="241">
        <f t="shared" si="17"/>
        <v>1</v>
      </c>
      <c r="Z83" s="241" t="str">
        <f t="shared" si="18"/>
        <v/>
      </c>
      <c r="AB83" s="241" t="s">
        <v>738</v>
      </c>
    </row>
    <row r="84" spans="1:28" ht="39" x14ac:dyDescent="0.25">
      <c r="A84" s="241" t="str">
        <f t="shared" si="14"/>
        <v/>
      </c>
      <c r="B84" s="241" t="s">
        <v>902</v>
      </c>
      <c r="D84" s="241">
        <v>4.0000000000000001E-3</v>
      </c>
      <c r="E84" s="241">
        <f t="shared" si="15"/>
        <v>4.0000000000000001E-3</v>
      </c>
      <c r="G84" s="339">
        <v>33.299999999999997</v>
      </c>
      <c r="H84" s="241">
        <f t="shared" si="10"/>
        <v>33.299999999999997</v>
      </c>
      <c r="J84" s="339">
        <v>48</v>
      </c>
      <c r="K84" s="241">
        <f t="shared" si="11"/>
        <v>48</v>
      </c>
      <c r="L84" s="241">
        <v>0</v>
      </c>
      <c r="M84" s="241">
        <f>(3-6.5)/6.5*100</f>
        <v>-53.846153846153847</v>
      </c>
      <c r="N84" s="130" t="s">
        <v>671</v>
      </c>
      <c r="O84" s="130"/>
      <c r="P84" s="130"/>
      <c r="Q84" s="241">
        <f>IF(H84&lt;60,'Berechnung-WÜ-Material'!$AL$110,IF(AND(H84&gt;=60,H84&lt;80),'Berechnung-WÜ-Material'!$AM$110,IF(AND('Daten-Materialien'!H84&gt;=80,'Daten-Materialien'!H84&lt;100),'Berechnung-WÜ-Material'!$AN$110,IF(AND(H84&gt;=100,H84&lt;120),'Berechnung-WÜ-Material'!$AO$110,IF(AND('Daten-Materialien'!H84&gt;=120,'Daten-Materialien'!H84&lt;140),'Berechnung-WÜ-Material'!$AP$110,IF('Daten-Materialien'!H84&gt;140,'Berechnung-WÜ-Material'!$AQ$110,"FEHLER"))))))</f>
        <v>2.2063369805171464</v>
      </c>
      <c r="R84" s="241">
        <f>IF(E84&lt;0.1,'Berechnung-WÜ-Material'!$AS$110,IF(AND(E84&gt;=0.1,E84&lt;0.3),'Berechnung-WÜ-Material'!$AT$110,IF(AND('Daten-Materialien'!E84&gt;=0.3,'Daten-Materialien'!E84&lt;0.6),'Berechnung-WÜ-Material'!$AU$110,IF(AND(E84&gt;=0.6,E84&lt;1),'Berechnung-WÜ-Material'!$AV$110,IF(AND('Daten-Materialien'!E84&gt;=1,'Daten-Materialien'!E84&lt;1.5),'Berechnung-WÜ-Material'!$AW$110,IF('Daten-Materialien'!E84&gt;1.5,'Berechnung-WÜ-Material'!$AX$110,"FEHLER"))))))</f>
        <v>5.4090960472347849</v>
      </c>
      <c r="S84" s="241">
        <f>IF(K84&lt;15,'Berechnung-WÜ-Material'!$AZ$110,IF(AND(K84&gt;=15,K84&lt;30),'Berechnung-WÜ-Material'!$BA$110,IF(AND('Daten-Materialien'!K84&gt;=30,'Daten-Materialien'!K84&lt;45),'Berechnung-WÜ-Material'!$BB$110,IF(AND(K84&gt;=45,K84&lt;60),'Berechnung-WÜ-Material'!$BC$110,IF(AND('Daten-Materialien'!K84&gt;=60,'Daten-Materialien'!K84&lt;75),'Berechnung-WÜ-Material'!$BD$110,IF('Daten-Materialien'!K84&gt;75,'Berechnung-WÜ-Material'!$BE$110,"FEHLER"))))))</f>
        <v>2.6681383364247617</v>
      </c>
      <c r="T84" s="241">
        <f>SUM(Q84:S84)+(L84*3*'Berechnung-WÜ-Material'!$G$22)</f>
        <v>10.283571364176694</v>
      </c>
      <c r="U84" s="241">
        <f t="shared" si="12"/>
        <v>26.976190240738553</v>
      </c>
      <c r="V84" s="241">
        <f>100/'Berechnung-WÜ-Material'!$BF$112*'Daten-Materialien'!T84</f>
        <v>50.196709049836016</v>
      </c>
      <c r="W84" s="241">
        <f t="shared" si="13"/>
        <v>211</v>
      </c>
      <c r="X84" s="241" t="str">
        <f t="shared" si="16"/>
        <v/>
      </c>
      <c r="Y84" s="241">
        <f t="shared" si="17"/>
        <v>1</v>
      </c>
      <c r="Z84" s="241" t="str">
        <f t="shared" si="18"/>
        <v/>
      </c>
      <c r="AB84" s="241" t="s">
        <v>1013</v>
      </c>
    </row>
    <row r="85" spans="1:28" ht="26.25" x14ac:dyDescent="0.25">
      <c r="A85" s="241" t="str">
        <f t="shared" si="14"/>
        <v/>
      </c>
      <c r="B85" s="241" t="s">
        <v>858</v>
      </c>
      <c r="D85" s="241">
        <v>1.7</v>
      </c>
      <c r="E85" s="241">
        <f t="shared" si="15"/>
        <v>1.7</v>
      </c>
      <c r="G85" s="337">
        <v>88</v>
      </c>
      <c r="H85" s="241">
        <f t="shared" si="10"/>
        <v>88</v>
      </c>
      <c r="J85" s="337">
        <v>55</v>
      </c>
      <c r="K85" s="241">
        <f t="shared" si="11"/>
        <v>55</v>
      </c>
      <c r="L85" s="241">
        <v>0</v>
      </c>
      <c r="M85" s="241">
        <v>0</v>
      </c>
      <c r="N85" s="130" t="s">
        <v>672</v>
      </c>
      <c r="O85" s="130"/>
      <c r="P85" s="130"/>
      <c r="Q85" s="241">
        <f>IF(H85&lt;60,'Berechnung-WÜ-Material'!$AL$110,IF(AND(H85&gt;=60,H85&lt;80),'Berechnung-WÜ-Material'!$AM$110,IF(AND('Daten-Materialien'!H85&gt;=80,'Daten-Materialien'!H85&lt;100),'Berechnung-WÜ-Material'!$AN$110,IF(AND(H85&gt;=100,H85&lt;120),'Berechnung-WÜ-Material'!$AO$110,IF(AND('Daten-Materialien'!H85&gt;=120,'Daten-Materialien'!H85&lt;140),'Berechnung-WÜ-Material'!$AP$110,IF('Daten-Materialien'!H85&gt;140,'Berechnung-WÜ-Material'!$AQ$110,"FEHLER"))))))</f>
        <v>2.9517194566014666</v>
      </c>
      <c r="R85" s="241">
        <f>IF(E85&lt;0.1,'Berechnung-WÜ-Material'!$AS$110,IF(AND(E85&gt;=0.1,E85&lt;0.3),'Berechnung-WÜ-Material'!$AT$110,IF(AND('Daten-Materialien'!E85&gt;=0.3,'Daten-Materialien'!E85&lt;0.6),'Berechnung-WÜ-Material'!$AU$110,IF(AND(E85&gt;=0.6,E85&lt;1),'Berechnung-WÜ-Material'!$AV$110,IF(AND('Daten-Materialien'!E85&gt;=1,'Daten-Materialien'!E85&lt;1.5),'Berechnung-WÜ-Material'!$AW$110,IF('Daten-Materialien'!E85&gt;1.5,'Berechnung-WÜ-Material'!$AX$110,"FEHLER"))))))</f>
        <v>5.4606109077360685</v>
      </c>
      <c r="S85" s="241">
        <f>IF(K85&lt;15,'Berechnung-WÜ-Material'!$AZ$110,IF(AND(K85&gt;=15,K85&lt;30),'Berechnung-WÜ-Material'!$BA$110,IF(AND('Daten-Materialien'!K85&gt;=30,'Daten-Materialien'!K85&lt;45),'Berechnung-WÜ-Material'!$BB$110,IF(AND(K85&gt;=45,K85&lt;60),'Berechnung-WÜ-Material'!$BC$110,IF(AND('Daten-Materialien'!K85&gt;=60,'Daten-Materialien'!K85&lt;75),'Berechnung-WÜ-Material'!$BD$110,IF('Daten-Materialien'!K85&gt;75,'Berechnung-WÜ-Material'!$BE$110,"FEHLER"))))))</f>
        <v>2.6681383364247617</v>
      </c>
      <c r="T85" s="241">
        <f>SUM(Q85:S85)+(L85*3*'Berechnung-WÜ-Material'!$G$22)</f>
        <v>11.080468700762296</v>
      </c>
      <c r="U85" s="241">
        <f t="shared" si="12"/>
        <v>29.927661857958384</v>
      </c>
      <c r="V85" s="241">
        <f>100/'Berechnung-WÜ-Material'!$BF$112*'Daten-Materialien'!T85</f>
        <v>54.08656621429585</v>
      </c>
      <c r="W85" s="241">
        <f t="shared" si="13"/>
        <v>205</v>
      </c>
      <c r="X85" s="241" t="str">
        <f t="shared" si="16"/>
        <v/>
      </c>
      <c r="Y85" s="241">
        <f t="shared" si="17"/>
        <v>1</v>
      </c>
      <c r="Z85" s="241" t="str">
        <f t="shared" si="18"/>
        <v/>
      </c>
      <c r="AB85" s="241" t="s">
        <v>889</v>
      </c>
    </row>
    <row r="86" spans="1:28" ht="26.25" x14ac:dyDescent="0.25">
      <c r="A86" s="241" t="str">
        <f t="shared" si="14"/>
        <v/>
      </c>
      <c r="B86" s="241" t="s">
        <v>853</v>
      </c>
      <c r="D86" s="241">
        <v>0.7</v>
      </c>
      <c r="E86" s="241">
        <f t="shared" si="15"/>
        <v>0.7</v>
      </c>
      <c r="G86" s="337">
        <v>58</v>
      </c>
      <c r="H86" s="241">
        <f t="shared" si="10"/>
        <v>58</v>
      </c>
      <c r="J86" s="337">
        <v>56</v>
      </c>
      <c r="K86" s="241">
        <f t="shared" si="11"/>
        <v>56</v>
      </c>
      <c r="L86" s="241">
        <v>0</v>
      </c>
      <c r="M86" s="241">
        <v>-40</v>
      </c>
      <c r="N86" s="130" t="s">
        <v>672</v>
      </c>
      <c r="O86" s="130"/>
      <c r="P86" s="130"/>
      <c r="Q86" s="241">
        <f>IF(H86&lt;60,'Berechnung-WÜ-Material'!$AL$110,IF(AND(H86&gt;=60,H86&lt;80),'Berechnung-WÜ-Material'!$AM$110,IF(AND('Daten-Materialien'!H86&gt;=80,'Daten-Materialien'!H86&lt;100),'Berechnung-WÜ-Material'!$AN$110,IF(AND(H86&gt;=100,H86&lt;120),'Berechnung-WÜ-Material'!$AO$110,IF(AND('Daten-Materialien'!H86&gt;=120,'Daten-Materialien'!H86&lt;140),'Berechnung-WÜ-Material'!$AP$110,IF('Daten-Materialien'!H86&gt;140,'Berechnung-WÜ-Material'!$AQ$110,"FEHLER"))))))</f>
        <v>2.2063369805171464</v>
      </c>
      <c r="R86" s="241">
        <f>IF(E86&lt;0.1,'Berechnung-WÜ-Material'!$AS$110,IF(AND(E86&gt;=0.1,E86&lt;0.3),'Berechnung-WÜ-Material'!$AT$110,IF(AND('Daten-Materialien'!E86&gt;=0.3,'Daten-Materialien'!E86&lt;0.6),'Berechnung-WÜ-Material'!$AU$110,IF(AND(E86&gt;=0.6,E86&lt;1),'Berechnung-WÜ-Material'!$AV$110,IF(AND('Daten-Materialien'!E86&gt;=1,'Daten-Materialien'!E86&lt;1.5),'Berechnung-WÜ-Material'!$AW$110,IF('Daten-Materialien'!E86&gt;1.5,'Berechnung-WÜ-Material'!$AX$110,"FEHLER"))))))</f>
        <v>7.3404134064714102</v>
      </c>
      <c r="S86" s="241">
        <f>IF(K86&lt;15,'Berechnung-WÜ-Material'!$AZ$110,IF(AND(K86&gt;=15,K86&lt;30),'Berechnung-WÜ-Material'!$BA$110,IF(AND('Daten-Materialien'!K86&gt;=30,'Daten-Materialien'!K86&lt;45),'Berechnung-WÜ-Material'!$BB$110,IF(AND(K86&gt;=45,K86&lt;60),'Berechnung-WÜ-Material'!$BC$110,IF(AND('Daten-Materialien'!K86&gt;=60,'Daten-Materialien'!K86&lt;75),'Berechnung-WÜ-Material'!$BD$110,IF('Daten-Materialien'!K86&gt;75,'Berechnung-WÜ-Material'!$BE$110,"FEHLER"))))))</f>
        <v>2.6681383364247617</v>
      </c>
      <c r="T86" s="241">
        <f>SUM(Q86:S86)+(L86*3*'Berechnung-WÜ-Material'!$G$22)</f>
        <v>12.214888723413317</v>
      </c>
      <c r="U86" s="241">
        <f t="shared" si="12"/>
        <v>34.129217497742736</v>
      </c>
      <c r="V86" s="241">
        <f>100/'Berechnung-WÜ-Material'!$BF$112*'Daten-Materialien'!T86</f>
        <v>59.623956854252832</v>
      </c>
      <c r="W86" s="241">
        <f t="shared" si="13"/>
        <v>195</v>
      </c>
      <c r="X86" s="241" t="str">
        <f t="shared" si="16"/>
        <v/>
      </c>
      <c r="Y86" s="241">
        <f t="shared" si="17"/>
        <v>1</v>
      </c>
      <c r="Z86" s="241" t="str">
        <f t="shared" si="18"/>
        <v/>
      </c>
      <c r="AB86" s="241" t="s">
        <v>888</v>
      </c>
    </row>
    <row r="87" spans="1:28" ht="51.75" x14ac:dyDescent="0.25">
      <c r="A87" s="241" t="str">
        <f t="shared" si="14"/>
        <v/>
      </c>
      <c r="B87" s="241" t="s">
        <v>859</v>
      </c>
      <c r="D87" s="339">
        <v>0.15</v>
      </c>
      <c r="E87" s="241">
        <f t="shared" si="15"/>
        <v>0.15</v>
      </c>
      <c r="G87" s="241">
        <v>88</v>
      </c>
      <c r="H87" s="241">
        <f t="shared" si="10"/>
        <v>88</v>
      </c>
      <c r="J87" s="337">
        <v>55</v>
      </c>
      <c r="K87" s="241">
        <f t="shared" si="11"/>
        <v>55</v>
      </c>
      <c r="L87" s="241">
        <v>0</v>
      </c>
      <c r="M87" s="241">
        <v>0</v>
      </c>
      <c r="N87" s="130" t="s">
        <v>646</v>
      </c>
      <c r="O87" s="130"/>
      <c r="P87" s="130"/>
      <c r="Q87" s="241">
        <f>IF(H87&lt;60,'Berechnung-WÜ-Material'!$AL$110,IF(AND(H87&gt;=60,H87&lt;80),'Berechnung-WÜ-Material'!$AM$110,IF(AND('Daten-Materialien'!H87&gt;=80,'Daten-Materialien'!H87&lt;100),'Berechnung-WÜ-Material'!$AN$110,IF(AND(H87&gt;=100,H87&lt;120),'Berechnung-WÜ-Material'!$AO$110,IF(AND('Daten-Materialien'!H87&gt;=120,'Daten-Materialien'!H87&lt;140),'Berechnung-WÜ-Material'!$AP$110,IF('Daten-Materialien'!H87&gt;140,'Berechnung-WÜ-Material'!$AQ$110,"FEHLER"))))))</f>
        <v>2.9517194566014666</v>
      </c>
      <c r="R87" s="241">
        <f>IF(E87&lt;0.1,'Berechnung-WÜ-Material'!$AS$110,IF(AND(E87&gt;=0.1,E87&lt;0.3),'Berechnung-WÜ-Material'!$AT$110,IF(AND('Daten-Materialien'!E87&gt;=0.3,'Daten-Materialien'!E87&lt;0.6),'Berechnung-WÜ-Material'!$AU$110,IF(AND(E87&gt;=0.6,E87&lt;1),'Berechnung-WÜ-Material'!$AV$110,IF(AND('Daten-Materialien'!E87&gt;=1,'Daten-Materialien'!E87&lt;1.5),'Berechnung-WÜ-Material'!$AW$110,IF('Daten-Materialien'!E87&gt;1.5,'Berechnung-WÜ-Material'!$AX$110,"FEHLER"))))))</f>
        <v>8.1415883793382715</v>
      </c>
      <c r="S87" s="241">
        <f>IF(K87&lt;15,'Berechnung-WÜ-Material'!$AZ$110,IF(AND(K87&gt;=15,K87&lt;30),'Berechnung-WÜ-Material'!$BA$110,IF(AND('Daten-Materialien'!K87&gt;=30,'Daten-Materialien'!K87&lt;45),'Berechnung-WÜ-Material'!$BB$110,IF(AND(K87&gt;=45,K87&lt;60),'Berechnung-WÜ-Material'!$BC$110,IF(AND('Daten-Materialien'!K87&gt;=60,'Daten-Materialien'!K87&lt;75),'Berechnung-WÜ-Material'!$BD$110,IF('Daten-Materialien'!K87&gt;75,'Berechnung-WÜ-Material'!$BE$110,"FEHLER"))))))</f>
        <v>2.6681383364247617</v>
      </c>
      <c r="T87" s="241">
        <f>SUM(Q87:S87)+(L87*3*'Berechnung-WÜ-Material'!$G$22)</f>
        <v>13.761446172364501</v>
      </c>
      <c r="U87" s="241">
        <f t="shared" si="12"/>
        <v>39.857208049872021</v>
      </c>
      <c r="V87" s="241">
        <f>100/'Berechnung-WÜ-Material'!$BF$112*'Daten-Materialien'!T87</f>
        <v>67.173094361509726</v>
      </c>
      <c r="W87" s="241">
        <f t="shared" si="13"/>
        <v>137</v>
      </c>
      <c r="X87" s="241" t="str">
        <f t="shared" si="16"/>
        <v/>
      </c>
      <c r="Y87" s="241">
        <f t="shared" si="17"/>
        <v>1</v>
      </c>
      <c r="Z87" s="241" t="str">
        <f t="shared" si="18"/>
        <v/>
      </c>
      <c r="AB87" s="241" t="s">
        <v>1031</v>
      </c>
    </row>
    <row r="88" spans="1:28" ht="51.75" x14ac:dyDescent="0.25">
      <c r="A88" s="241" t="str">
        <f t="shared" si="14"/>
        <v/>
      </c>
      <c r="B88" s="241" t="s">
        <v>673</v>
      </c>
      <c r="D88" s="339">
        <v>0.17</v>
      </c>
      <c r="E88" s="241">
        <f t="shared" si="15"/>
        <v>0.17</v>
      </c>
      <c r="G88" s="241">
        <v>52</v>
      </c>
      <c r="H88" s="241">
        <f t="shared" si="10"/>
        <v>52</v>
      </c>
      <c r="J88" s="337">
        <v>56</v>
      </c>
      <c r="K88" s="241">
        <f t="shared" si="11"/>
        <v>56</v>
      </c>
      <c r="L88" s="241">
        <v>0</v>
      </c>
      <c r="M88" s="241">
        <f>(0.035-0.13)/0.13*100</f>
        <v>-73.076923076923066</v>
      </c>
      <c r="N88" s="130" t="s">
        <v>646</v>
      </c>
      <c r="O88" s="130"/>
      <c r="P88" s="130"/>
      <c r="Q88" s="241">
        <f>IF(H88&lt;60,'Berechnung-WÜ-Material'!$AL$110,IF(AND(H88&gt;=60,H88&lt;80),'Berechnung-WÜ-Material'!$AM$110,IF(AND('Daten-Materialien'!H88&gt;=80,'Daten-Materialien'!H88&lt;100),'Berechnung-WÜ-Material'!$AN$110,IF(AND(H88&gt;=100,H88&lt;120),'Berechnung-WÜ-Material'!$AO$110,IF(AND('Daten-Materialien'!H88&gt;=120,'Daten-Materialien'!H88&lt;140),'Berechnung-WÜ-Material'!$AP$110,IF('Daten-Materialien'!H88&gt;140,'Berechnung-WÜ-Material'!$AQ$110,"FEHLER"))))))</f>
        <v>2.2063369805171464</v>
      </c>
      <c r="R88" s="241">
        <f>IF(E88&lt;0.1,'Berechnung-WÜ-Material'!$AS$110,IF(AND(E88&gt;=0.1,E88&lt;0.3),'Berechnung-WÜ-Material'!$AT$110,IF(AND('Daten-Materialien'!E88&gt;=0.3,'Daten-Materialien'!E88&lt;0.6),'Berechnung-WÜ-Material'!$AU$110,IF(AND(E88&gt;=0.6,E88&lt;1),'Berechnung-WÜ-Material'!$AV$110,IF(AND('Daten-Materialien'!E88&gt;=1,'Daten-Materialien'!E88&lt;1.5),'Berechnung-WÜ-Material'!$AW$110,IF('Daten-Materialien'!E88&gt;1.5,'Berechnung-WÜ-Material'!$AX$110,"FEHLER"))))))</f>
        <v>8.1415883793382715</v>
      </c>
      <c r="S88" s="241">
        <f>IF(K88&lt;15,'Berechnung-WÜ-Material'!$AZ$110,IF(AND(K88&gt;=15,K88&lt;30),'Berechnung-WÜ-Material'!$BA$110,IF(AND('Daten-Materialien'!K88&gt;=30,'Daten-Materialien'!K88&lt;45),'Berechnung-WÜ-Material'!$BB$110,IF(AND(K88&gt;=45,K88&lt;60),'Berechnung-WÜ-Material'!$BC$110,IF(AND('Daten-Materialien'!K88&gt;=60,'Daten-Materialien'!K88&lt;75),'Berechnung-WÜ-Material'!$BD$110,IF('Daten-Materialien'!K88&gt;75,'Berechnung-WÜ-Material'!$BE$110,"FEHLER"))))))</f>
        <v>2.6681383364247617</v>
      </c>
      <c r="T88" s="241">
        <f>SUM(Q88:S88)+(L88*3*'Berechnung-WÜ-Material'!$G$22)</f>
        <v>13.016063696280181</v>
      </c>
      <c r="U88" s="241">
        <f t="shared" si="12"/>
        <v>37.096532212301838</v>
      </c>
      <c r="V88" s="241">
        <f>100/'Berechnung-WÜ-Material'!$BF$112*'Daten-Materialien'!T88</f>
        <v>63.534694241762367</v>
      </c>
      <c r="W88" s="241">
        <f t="shared" si="13"/>
        <v>165</v>
      </c>
      <c r="X88" s="241" t="str">
        <f t="shared" si="16"/>
        <v/>
      </c>
      <c r="Y88" s="241">
        <f t="shared" si="17"/>
        <v>1</v>
      </c>
      <c r="Z88" s="241" t="str">
        <f t="shared" si="18"/>
        <v/>
      </c>
      <c r="AB88" s="241" t="s">
        <v>694</v>
      </c>
    </row>
    <row r="89" spans="1:28" ht="51.75" x14ac:dyDescent="0.25">
      <c r="A89" s="241" t="str">
        <f t="shared" si="14"/>
        <v/>
      </c>
      <c r="B89" s="241" t="s">
        <v>674</v>
      </c>
      <c r="D89" s="339">
        <v>2.69</v>
      </c>
      <c r="E89" s="241">
        <f t="shared" si="15"/>
        <v>2.69</v>
      </c>
      <c r="G89" s="241">
        <v>63</v>
      </c>
      <c r="H89" s="241">
        <f t="shared" si="10"/>
        <v>63</v>
      </c>
      <c r="J89" s="337">
        <v>56</v>
      </c>
      <c r="K89" s="241">
        <f t="shared" si="11"/>
        <v>56</v>
      </c>
      <c r="L89" s="241">
        <v>0</v>
      </c>
      <c r="M89" s="241">
        <f>(0.038-0.13)/0.13*100</f>
        <v>-70.769230769230759</v>
      </c>
      <c r="N89" s="130" t="s">
        <v>646</v>
      </c>
      <c r="O89" s="130"/>
      <c r="P89" s="130"/>
      <c r="Q89" s="241">
        <f>IF(H89&lt;60,'Berechnung-WÜ-Material'!$AL$110,IF(AND(H89&gt;=60,H89&lt;80),'Berechnung-WÜ-Material'!$AM$110,IF(AND('Daten-Materialien'!H89&gt;=80,'Daten-Materialien'!H89&lt;100),'Berechnung-WÜ-Material'!$AN$110,IF(AND(H89&gt;=100,H89&lt;120),'Berechnung-WÜ-Material'!$AO$110,IF(AND('Daten-Materialien'!H89&gt;=120,'Daten-Materialien'!H89&lt;140),'Berechnung-WÜ-Material'!$AP$110,IF('Daten-Materialien'!H89&gt;140,'Berechnung-WÜ-Material'!$AQ$110,"FEHLER"))))))</f>
        <v>1.4830749679207913</v>
      </c>
      <c r="R89" s="241">
        <f>IF(E89&lt;0.1,'Berechnung-WÜ-Material'!$AS$110,IF(AND(E89&gt;=0.1,E89&lt;0.3),'Berechnung-WÜ-Material'!$AT$110,IF(AND('Daten-Materialien'!E89&gt;=0.3,'Daten-Materialien'!E89&lt;0.6),'Berechnung-WÜ-Material'!$AU$110,IF(AND(E89&gt;=0.6,E89&lt;1),'Berechnung-WÜ-Material'!$AV$110,IF(AND('Daten-Materialien'!E89&gt;=1,'Daten-Materialien'!E89&lt;1.5),'Berechnung-WÜ-Material'!$AW$110,IF('Daten-Materialien'!E89&gt;1.5,'Berechnung-WÜ-Material'!$AX$110,"FEHLER"))))))</f>
        <v>5.4606109077360685</v>
      </c>
      <c r="S89" s="241">
        <f>IF(K89&lt;15,'Berechnung-WÜ-Material'!$AZ$110,IF(AND(K89&gt;=15,K89&lt;30),'Berechnung-WÜ-Material'!$BA$110,IF(AND('Daten-Materialien'!K89&gt;=30,'Daten-Materialien'!K89&lt;45),'Berechnung-WÜ-Material'!$BB$110,IF(AND(K89&gt;=45,K89&lt;60),'Berechnung-WÜ-Material'!$BC$110,IF(AND('Daten-Materialien'!K89&gt;=60,'Daten-Materialien'!K89&lt;75),'Berechnung-WÜ-Material'!$BD$110,IF('Daten-Materialien'!K89&gt;75,'Berechnung-WÜ-Material'!$BE$110,"FEHLER"))))))</f>
        <v>2.6681383364247617</v>
      </c>
      <c r="T89" s="241">
        <f>SUM(Q89:S89)+(L89*3*'Berechnung-WÜ-Material'!$G$22)</f>
        <v>9.611824212081622</v>
      </c>
      <c r="U89" s="241">
        <f t="shared" si="12"/>
        <v>24.488237825372586</v>
      </c>
      <c r="V89" s="241">
        <f>100/'Berechnung-WÜ-Material'!$BF$112*'Daten-Materialien'!T89</f>
        <v>46.917741543835547</v>
      </c>
      <c r="W89" s="241">
        <f t="shared" si="13"/>
        <v>225</v>
      </c>
      <c r="X89" s="241" t="str">
        <f t="shared" si="16"/>
        <v/>
      </c>
      <c r="Y89" s="241">
        <f t="shared" si="17"/>
        <v>1</v>
      </c>
      <c r="Z89" s="241" t="str">
        <f t="shared" si="18"/>
        <v/>
      </c>
      <c r="AB89" s="241" t="s">
        <v>869</v>
      </c>
    </row>
    <row r="90" spans="1:28" ht="51" customHeight="1" x14ac:dyDescent="0.2">
      <c r="A90" s="241" t="str">
        <f t="shared" si="14"/>
        <v/>
      </c>
      <c r="B90" s="241" t="s">
        <v>885</v>
      </c>
      <c r="D90" s="241">
        <v>0.4</v>
      </c>
      <c r="E90" s="241">
        <f t="shared" si="15"/>
        <v>0.4</v>
      </c>
      <c r="G90" s="241">
        <v>56</v>
      </c>
      <c r="H90" s="241">
        <f t="shared" si="10"/>
        <v>56</v>
      </c>
      <c r="J90" s="241">
        <v>89</v>
      </c>
      <c r="K90" s="241">
        <f t="shared" si="11"/>
        <v>89</v>
      </c>
      <c r="L90" s="241">
        <v>0</v>
      </c>
      <c r="M90" s="241">
        <v>0</v>
      </c>
      <c r="N90" s="130" t="s">
        <v>628</v>
      </c>
      <c r="O90" s="130"/>
      <c r="P90" s="130"/>
      <c r="Q90" s="241">
        <f>IF(H90&lt;60,'Berechnung-WÜ-Material'!$AL$110,IF(AND(H90&gt;=60,H90&lt;80),'Berechnung-WÜ-Material'!$AM$110,IF(AND('Daten-Materialien'!H90&gt;=80,'Daten-Materialien'!H90&lt;100),'Berechnung-WÜ-Material'!$AN$110,IF(AND(H90&gt;=100,H90&lt;120),'Berechnung-WÜ-Material'!$AO$110,IF(AND('Daten-Materialien'!H90&gt;=120,'Daten-Materialien'!H90&lt;140),'Berechnung-WÜ-Material'!$AP$110,IF('Daten-Materialien'!H90&gt;140,'Berechnung-WÜ-Material'!$AQ$110,"FEHLER"))))))</f>
        <v>2.2063369805171464</v>
      </c>
      <c r="R90" s="241">
        <f>IF(E90&lt;0.1,'Berechnung-WÜ-Material'!$AS$110,IF(AND(E90&gt;=0.1,E90&lt;0.3),'Berechnung-WÜ-Material'!$AT$110,IF(AND('Daten-Materialien'!E90&gt;=0.3,'Daten-Materialien'!E90&lt;0.6),'Berechnung-WÜ-Material'!$AU$110,IF(AND(E90&gt;=0.6,E90&lt;1),'Berechnung-WÜ-Material'!$AV$110,IF(AND('Daten-Materialien'!E90&gt;=1,'Daten-Materialien'!E90&lt;1.5),'Berechnung-WÜ-Material'!$AW$110,IF('Daten-Materialien'!E90&gt;1.5,'Berechnung-WÜ-Material'!$AX$110,"FEHLER"))))))</f>
        <v>7.4603395508911365</v>
      </c>
      <c r="S90" s="241">
        <f>IF(K90&lt;15,'Berechnung-WÜ-Material'!$AZ$110,IF(AND(K90&gt;=15,K90&lt;30),'Berechnung-WÜ-Material'!$BA$110,IF(AND('Daten-Materialien'!K90&gt;=30,'Daten-Materialien'!K90&lt;45),'Berechnung-WÜ-Material'!$BB$110,IF(AND(K90&gt;=45,K90&lt;60),'Berechnung-WÜ-Material'!$BC$110,IF(AND('Daten-Materialien'!K90&gt;=60,'Daten-Materialien'!K90&lt;75),'Berechnung-WÜ-Material'!$BD$110,IF('Daten-Materialien'!K90&gt;75,'Berechnung-WÜ-Material'!$BE$110,"FEHLER"))))))</f>
        <v>4.7129870533027205</v>
      </c>
      <c r="T90" s="241">
        <f>SUM(Q90:S90)+(L90*3*'Berechnung-WÜ-Material'!$G$22)</f>
        <v>14.379663584711004</v>
      </c>
      <c r="U90" s="241">
        <f t="shared" si="12"/>
        <v>42.146902169857064</v>
      </c>
      <c r="V90" s="241">
        <f>100/'Berechnung-WÜ-Material'!$BF$112*'Daten-Materialien'!T90</f>
        <v>70.19076968831331</v>
      </c>
      <c r="W90" s="241">
        <f t="shared" si="13"/>
        <v>111</v>
      </c>
      <c r="X90" s="241" t="str">
        <f t="shared" si="16"/>
        <v/>
      </c>
      <c r="Y90" s="241">
        <f t="shared" si="17"/>
        <v>1</v>
      </c>
      <c r="Z90" s="241" t="str">
        <f t="shared" si="18"/>
        <v/>
      </c>
      <c r="AB90" s="241" t="s">
        <v>871</v>
      </c>
    </row>
    <row r="91" spans="1:28" ht="51" customHeight="1" x14ac:dyDescent="0.2">
      <c r="A91" s="241" t="str">
        <f t="shared" si="14"/>
        <v/>
      </c>
      <c r="B91" s="241" t="s">
        <v>854</v>
      </c>
      <c r="D91" s="241">
        <v>0.1</v>
      </c>
      <c r="E91" s="241">
        <f t="shared" si="15"/>
        <v>0.1</v>
      </c>
      <c r="G91" s="241">
        <v>105</v>
      </c>
      <c r="H91" s="241">
        <f t="shared" si="10"/>
        <v>105</v>
      </c>
      <c r="J91" s="241">
        <v>85</v>
      </c>
      <c r="K91" s="241">
        <f t="shared" si="11"/>
        <v>85</v>
      </c>
      <c r="L91" s="241">
        <v>0</v>
      </c>
      <c r="M91" s="241">
        <v>-62</v>
      </c>
      <c r="N91" s="130" t="s">
        <v>628</v>
      </c>
      <c r="O91" s="130"/>
      <c r="P91" s="130"/>
      <c r="Q91" s="241">
        <f>IF(H91&lt;60,'Berechnung-WÜ-Material'!$AL$110,IF(AND(H91&gt;=60,H91&lt;80),'Berechnung-WÜ-Material'!$AM$110,IF(AND('Daten-Materialien'!H91&gt;=80,'Daten-Materialien'!H91&lt;100),'Berechnung-WÜ-Material'!$AN$110,IF(AND(H91&gt;=100,H91&lt;120),'Berechnung-WÜ-Material'!$AO$110,IF(AND('Daten-Materialien'!H91&gt;=120,'Daten-Materialien'!H91&lt;140),'Berechnung-WÜ-Material'!$AP$110,IF('Daten-Materialien'!H91&gt;140,'Berechnung-WÜ-Material'!$AQ$110,"FEHLER"))))))</f>
        <v>3.4064092551223228</v>
      </c>
      <c r="R91" s="241">
        <f>IF(E91&lt;0.1,'Berechnung-WÜ-Material'!$AS$110,IF(AND(E91&gt;=0.1,E91&lt;0.3),'Berechnung-WÜ-Material'!$AT$110,IF(AND('Daten-Materialien'!E91&gt;=0.3,'Daten-Materialien'!E91&lt;0.6),'Berechnung-WÜ-Material'!$AU$110,IF(AND(E91&gt;=0.6,E91&lt;1),'Berechnung-WÜ-Material'!$AV$110,IF(AND('Daten-Materialien'!E91&gt;=1,'Daten-Materialien'!E91&lt;1.5),'Berechnung-WÜ-Material'!$AW$110,IF('Daten-Materialien'!E91&gt;1.5,'Berechnung-WÜ-Material'!$AX$110,"FEHLER"))))))</f>
        <v>8.1415883793382715</v>
      </c>
      <c r="S91" s="241">
        <f>IF(K91&lt;15,'Berechnung-WÜ-Material'!$AZ$110,IF(AND(K91&gt;=15,K91&lt;30),'Berechnung-WÜ-Material'!$BA$110,IF(AND('Daten-Materialien'!K91&gt;=30,'Daten-Materialien'!K91&lt;45),'Berechnung-WÜ-Material'!$BB$110,IF(AND(K91&gt;=45,K91&lt;60),'Berechnung-WÜ-Material'!$BC$110,IF(AND('Daten-Materialien'!K91&gt;=60,'Daten-Materialien'!K91&lt;75),'Berechnung-WÜ-Material'!$BD$110,IF('Daten-Materialien'!K91&gt;75,'Berechnung-WÜ-Material'!$BE$110,"FEHLER"))))))</f>
        <v>4.7129870533027205</v>
      </c>
      <c r="T91" s="241">
        <f>SUM(Q91:S91)+(L91*3*'Berechnung-WÜ-Material'!$G$22)</f>
        <v>16.260984687763315</v>
      </c>
      <c r="U91" s="241">
        <f t="shared" si="12"/>
        <v>49.114758107645272</v>
      </c>
      <c r="V91" s="241">
        <f>100/'Berechnung-WÜ-Material'!$BF$112*'Daten-Materialien'!T91</f>
        <v>79.373973139227857</v>
      </c>
      <c r="W91" s="241">
        <f t="shared" si="13"/>
        <v>59</v>
      </c>
      <c r="X91" s="241" t="str">
        <f t="shared" si="16"/>
        <v/>
      </c>
      <c r="Y91" s="241">
        <f t="shared" si="17"/>
        <v>1</v>
      </c>
      <c r="Z91" s="241" t="str">
        <f t="shared" si="18"/>
        <v/>
      </c>
      <c r="AB91" s="241" t="s">
        <v>881</v>
      </c>
    </row>
    <row r="92" spans="1:28" ht="39" x14ac:dyDescent="0.25">
      <c r="A92" s="241" t="str">
        <f t="shared" si="14"/>
        <v/>
      </c>
      <c r="B92" s="241" t="s">
        <v>860</v>
      </c>
      <c r="D92" s="340">
        <v>0.36799999999999999</v>
      </c>
      <c r="E92" s="241">
        <f t="shared" si="15"/>
        <v>0.36799999999999999</v>
      </c>
      <c r="G92" s="241">
        <v>93</v>
      </c>
      <c r="H92" s="241">
        <f t="shared" si="10"/>
        <v>93</v>
      </c>
      <c r="J92" s="241">
        <v>33</v>
      </c>
      <c r="K92" s="241">
        <f t="shared" si="11"/>
        <v>33</v>
      </c>
      <c r="L92" s="241">
        <v>0</v>
      </c>
      <c r="M92" s="241">
        <v>0</v>
      </c>
      <c r="N92" s="130" t="s">
        <v>675</v>
      </c>
      <c r="O92" s="130"/>
      <c r="P92" s="130"/>
      <c r="Q92" s="241">
        <f>IF(H92&lt;60,'Berechnung-WÜ-Material'!$AL$110,IF(AND(H92&gt;=60,H92&lt;80),'Berechnung-WÜ-Material'!$AM$110,IF(AND('Daten-Materialien'!H92&gt;=80,'Daten-Materialien'!H92&lt;100),'Berechnung-WÜ-Material'!$AN$110,IF(AND(H92&gt;=100,H92&lt;120),'Berechnung-WÜ-Material'!$AO$110,IF(AND('Daten-Materialien'!H92&gt;=120,'Daten-Materialien'!H92&lt;140),'Berechnung-WÜ-Material'!$AP$110,IF('Daten-Materialien'!H92&gt;140,'Berechnung-WÜ-Material'!$AQ$110,"FEHLER"))))))</f>
        <v>2.9517194566014666</v>
      </c>
      <c r="R92" s="241">
        <f>IF(E92&lt;0.1,'Berechnung-WÜ-Material'!$AS$110,IF(AND(E92&gt;=0.1,E92&lt;0.3),'Berechnung-WÜ-Material'!$AT$110,IF(AND('Daten-Materialien'!E92&gt;=0.3,'Daten-Materialien'!E92&lt;0.6),'Berechnung-WÜ-Material'!$AU$110,IF(AND(E92&gt;=0.6,E92&lt;1),'Berechnung-WÜ-Material'!$AV$110,IF(AND('Daten-Materialien'!E92&gt;=1,'Daten-Materialien'!E92&lt;1.5),'Berechnung-WÜ-Material'!$AW$110,IF('Daten-Materialien'!E92&gt;1.5,'Berechnung-WÜ-Material'!$AX$110,"FEHLER"))))))</f>
        <v>7.4603395508911365</v>
      </c>
      <c r="S92" s="241">
        <f>IF(K92&lt;15,'Berechnung-WÜ-Material'!$AZ$110,IF(AND(K92&gt;=15,K92&lt;30),'Berechnung-WÜ-Material'!$BA$110,IF(AND('Daten-Materialien'!K92&gt;=30,'Daten-Materialien'!K92&lt;45),'Berechnung-WÜ-Material'!$BB$110,IF(AND(K92&gt;=45,K92&lt;60),'Berechnung-WÜ-Material'!$BC$110,IF(AND('Daten-Materialien'!K92&gt;=60,'Daten-Materialien'!K92&lt;75),'Berechnung-WÜ-Material'!$BD$110,IF('Daten-Materialien'!K92&gt;75,'Berechnung-WÜ-Material'!$BE$110,"FEHLER"))))))</f>
        <v>5.9436257603083487</v>
      </c>
      <c r="T92" s="241">
        <f>SUM(Q92:S92)+(L92*3*'Berechnung-WÜ-Material'!$G$22)</f>
        <v>16.355684767800952</v>
      </c>
      <c r="U92" s="241">
        <f t="shared" si="12"/>
        <v>49.465499144849765</v>
      </c>
      <c r="V92" s="241">
        <f>100/'Berechnung-WÜ-Material'!$BF$112*'Daten-Materialien'!T92</f>
        <v>79.836228147366853</v>
      </c>
      <c r="W92" s="241">
        <f t="shared" si="13"/>
        <v>43</v>
      </c>
      <c r="X92" s="241" t="str">
        <f t="shared" si="16"/>
        <v/>
      </c>
      <c r="Y92" s="241">
        <f t="shared" si="17"/>
        <v>1</v>
      </c>
      <c r="Z92" s="241" t="str">
        <f t="shared" si="18"/>
        <v/>
      </c>
      <c r="AB92" s="241" t="s">
        <v>772</v>
      </c>
    </row>
    <row r="93" spans="1:28" ht="39" x14ac:dyDescent="0.25">
      <c r="A93" s="241" t="str">
        <f t="shared" si="14"/>
        <v/>
      </c>
      <c r="B93" s="241" t="s">
        <v>861</v>
      </c>
      <c r="D93" s="340">
        <v>0.151</v>
      </c>
      <c r="E93" s="241">
        <f t="shared" si="15"/>
        <v>0.151</v>
      </c>
      <c r="G93" s="241">
        <v>67</v>
      </c>
      <c r="H93" s="241">
        <f t="shared" si="10"/>
        <v>67</v>
      </c>
      <c r="J93" s="241">
        <v>37</v>
      </c>
      <c r="K93" s="241">
        <f t="shared" si="11"/>
        <v>37</v>
      </c>
      <c r="L93" s="241">
        <v>0</v>
      </c>
      <c r="M93" s="241">
        <v>-81</v>
      </c>
      <c r="N93" s="130" t="s">
        <v>675</v>
      </c>
      <c r="O93" s="130"/>
      <c r="P93" s="130"/>
      <c r="Q93" s="241">
        <f>IF(H93&lt;60,'Berechnung-WÜ-Material'!$AL$110,IF(AND(H93&gt;=60,H93&lt;80),'Berechnung-WÜ-Material'!$AM$110,IF(AND('Daten-Materialien'!H93&gt;=80,'Daten-Materialien'!H93&lt;100),'Berechnung-WÜ-Material'!$AN$110,IF(AND(H93&gt;=100,H93&lt;120),'Berechnung-WÜ-Material'!$AO$110,IF(AND('Daten-Materialien'!H93&gt;=120,'Daten-Materialien'!H93&lt;140),'Berechnung-WÜ-Material'!$AP$110,IF('Daten-Materialien'!H93&gt;140,'Berechnung-WÜ-Material'!$AQ$110,"FEHLER"))))))</f>
        <v>1.4830749679207913</v>
      </c>
      <c r="R93" s="241">
        <f>IF(E93&lt;0.1,'Berechnung-WÜ-Material'!$AS$110,IF(AND(E93&gt;=0.1,E93&lt;0.3),'Berechnung-WÜ-Material'!$AT$110,IF(AND('Daten-Materialien'!E93&gt;=0.3,'Daten-Materialien'!E93&lt;0.6),'Berechnung-WÜ-Material'!$AU$110,IF(AND(E93&gt;=0.6,E93&lt;1),'Berechnung-WÜ-Material'!$AV$110,IF(AND('Daten-Materialien'!E93&gt;=1,'Daten-Materialien'!E93&lt;1.5),'Berechnung-WÜ-Material'!$AW$110,IF('Daten-Materialien'!E93&gt;1.5,'Berechnung-WÜ-Material'!$AX$110,"FEHLER"))))))</f>
        <v>8.1415883793382715</v>
      </c>
      <c r="S93" s="241">
        <f>IF(K93&lt;15,'Berechnung-WÜ-Material'!$AZ$110,IF(AND(K93&gt;=15,K93&lt;30),'Berechnung-WÜ-Material'!$BA$110,IF(AND('Daten-Materialien'!K93&gt;=30,'Daten-Materialien'!K93&lt;45),'Berechnung-WÜ-Material'!$BB$110,IF(AND(K93&gt;=45,K93&lt;60),'Berechnung-WÜ-Material'!$BC$110,IF(AND('Daten-Materialien'!K93&gt;=60,'Daten-Materialien'!K93&lt;75),'Berechnung-WÜ-Material'!$BD$110,IF('Daten-Materialien'!K93&gt;75,'Berechnung-WÜ-Material'!$BE$110,"FEHLER"))))))</f>
        <v>5.9436257603083487</v>
      </c>
      <c r="T93" s="241">
        <f>SUM(Q93:S93)+(L93*3*'Berechnung-WÜ-Material'!$G$22)</f>
        <v>15.568289107567411</v>
      </c>
      <c r="U93" s="241">
        <f t="shared" si="12"/>
        <v>46.549218921529274</v>
      </c>
      <c r="V93" s="241">
        <f>100/'Berechnung-WÜ-Material'!$BF$112*'Daten-Materialien'!T93</f>
        <v>75.99275106492712</v>
      </c>
      <c r="W93" s="241">
        <f t="shared" si="13"/>
        <v>80</v>
      </c>
      <c r="X93" s="241" t="str">
        <f t="shared" si="16"/>
        <v/>
      </c>
      <c r="Y93" s="241">
        <f t="shared" si="17"/>
        <v>1</v>
      </c>
      <c r="Z93" s="241" t="str">
        <f t="shared" si="18"/>
        <v/>
      </c>
      <c r="AB93" s="241" t="s">
        <v>696</v>
      </c>
    </row>
    <row r="94" spans="1:28" ht="39" x14ac:dyDescent="0.25">
      <c r="A94" s="241" t="str">
        <f t="shared" si="14"/>
        <v/>
      </c>
      <c r="B94" s="241" t="s">
        <v>862</v>
      </c>
      <c r="D94" s="340">
        <v>0.16700000000000001</v>
      </c>
      <c r="E94" s="241">
        <f t="shared" si="15"/>
        <v>0.16700000000000001</v>
      </c>
      <c r="G94" s="241">
        <v>58</v>
      </c>
      <c r="H94" s="241">
        <f t="shared" si="10"/>
        <v>58</v>
      </c>
      <c r="J94" s="241">
        <v>41</v>
      </c>
      <c r="K94" s="241">
        <f t="shared" si="11"/>
        <v>41</v>
      </c>
      <c r="L94" s="241">
        <v>0.5</v>
      </c>
      <c r="M94" s="241">
        <f>(0.4-1.4)/1.4*100</f>
        <v>-71.428571428571431</v>
      </c>
      <c r="N94" s="130" t="s">
        <v>675</v>
      </c>
      <c r="O94" s="130"/>
      <c r="P94" s="130"/>
      <c r="Q94" s="241">
        <f>IF(H94&lt;60,'Berechnung-WÜ-Material'!$AL$110,IF(AND(H94&gt;=60,H94&lt;80),'Berechnung-WÜ-Material'!$AM$110,IF(AND('Daten-Materialien'!H94&gt;=80,'Daten-Materialien'!H94&lt;100),'Berechnung-WÜ-Material'!$AN$110,IF(AND(H94&gt;=100,H94&lt;120),'Berechnung-WÜ-Material'!$AO$110,IF(AND('Daten-Materialien'!H94&gt;=120,'Daten-Materialien'!H94&lt;140),'Berechnung-WÜ-Material'!$AP$110,IF('Daten-Materialien'!H94&gt;140,'Berechnung-WÜ-Material'!$AQ$110,"FEHLER"))))))</f>
        <v>2.2063369805171464</v>
      </c>
      <c r="R94" s="241">
        <f>IF(E94&lt;0.1,'Berechnung-WÜ-Material'!$AS$110,IF(AND(E94&gt;=0.1,E94&lt;0.3),'Berechnung-WÜ-Material'!$AT$110,IF(AND('Daten-Materialien'!E94&gt;=0.3,'Daten-Materialien'!E94&lt;0.6),'Berechnung-WÜ-Material'!$AU$110,IF(AND(E94&gt;=0.6,E94&lt;1),'Berechnung-WÜ-Material'!$AV$110,IF(AND('Daten-Materialien'!E94&gt;=1,'Daten-Materialien'!E94&lt;1.5),'Berechnung-WÜ-Material'!$AW$110,IF('Daten-Materialien'!E94&gt;1.5,'Berechnung-WÜ-Material'!$AX$110,"FEHLER"))))))</f>
        <v>8.1415883793382715</v>
      </c>
      <c r="S94" s="241">
        <f>IF(K94&lt;15,'Berechnung-WÜ-Material'!$AZ$110,IF(AND(K94&gt;=15,K94&lt;30),'Berechnung-WÜ-Material'!$BA$110,IF(AND('Daten-Materialien'!K94&gt;=30,'Daten-Materialien'!K94&lt;45),'Berechnung-WÜ-Material'!$BB$110,IF(AND(K94&gt;=45,K94&lt;60),'Berechnung-WÜ-Material'!$BC$110,IF(AND('Daten-Materialien'!K94&gt;=60,'Daten-Materialien'!K94&lt;75),'Berechnung-WÜ-Material'!$BD$110,IF('Daten-Materialien'!K94&gt;75,'Berechnung-WÜ-Material'!$BE$110,"FEHLER"))))))</f>
        <v>5.9436257603083487</v>
      </c>
      <c r="T94" s="241">
        <f>SUM(Q94:S94)+(L94*3*'Berechnung-WÜ-Material'!$G$22)</f>
        <v>17.119660913995617</v>
      </c>
      <c r="U94" s="241">
        <f t="shared" si="12"/>
        <v>52.295040427278593</v>
      </c>
      <c r="V94" s="241">
        <f>100/'Berechnung-WÜ-Material'!$BF$112*'Daten-Materialien'!T94</f>
        <v>83.565388666944656</v>
      </c>
      <c r="W94" s="241">
        <f t="shared" si="13"/>
        <v>10</v>
      </c>
      <c r="X94" s="241" t="str">
        <f t="shared" si="16"/>
        <v/>
      </c>
      <c r="Y94" s="241">
        <f t="shared" si="17"/>
        <v>1</v>
      </c>
      <c r="Z94" s="241" t="str">
        <f t="shared" si="18"/>
        <v/>
      </c>
      <c r="AB94" s="241" t="s">
        <v>722</v>
      </c>
    </row>
    <row r="95" spans="1:28" ht="39" x14ac:dyDescent="0.25">
      <c r="A95" s="241" t="str">
        <f t="shared" si="14"/>
        <v/>
      </c>
      <c r="B95" s="241" t="s">
        <v>882</v>
      </c>
      <c r="D95" s="340">
        <v>0.4</v>
      </c>
      <c r="E95" s="241">
        <f t="shared" si="15"/>
        <v>0.4</v>
      </c>
      <c r="G95" s="241">
        <v>72</v>
      </c>
      <c r="H95" s="241">
        <f t="shared" si="10"/>
        <v>72</v>
      </c>
      <c r="J95" s="241">
        <v>42</v>
      </c>
      <c r="K95" s="241">
        <f t="shared" si="11"/>
        <v>42</v>
      </c>
      <c r="L95" s="241">
        <v>0.5</v>
      </c>
      <c r="M95" s="241">
        <f>(7-2)/7*100</f>
        <v>71.428571428571431</v>
      </c>
      <c r="N95" s="130" t="s">
        <v>675</v>
      </c>
      <c r="O95" s="130"/>
      <c r="P95" s="130"/>
      <c r="Q95" s="241">
        <f>IF(H95&lt;60,'Berechnung-WÜ-Material'!$AL$110,IF(AND(H95&gt;=60,H95&lt;80),'Berechnung-WÜ-Material'!$AM$110,IF(AND('Daten-Materialien'!H95&gt;=80,'Daten-Materialien'!H95&lt;100),'Berechnung-WÜ-Material'!$AN$110,IF(AND(H95&gt;=100,H95&lt;120),'Berechnung-WÜ-Material'!$AO$110,IF(AND('Daten-Materialien'!H95&gt;=120,'Daten-Materialien'!H95&lt;140),'Berechnung-WÜ-Material'!$AP$110,IF('Daten-Materialien'!H95&gt;140,'Berechnung-WÜ-Material'!$AQ$110,"FEHLER"))))))</f>
        <v>1.4830749679207913</v>
      </c>
      <c r="R95" s="241">
        <f>IF(E95&lt;0.1,'Berechnung-WÜ-Material'!$AS$110,IF(AND(E95&gt;=0.1,E95&lt;0.3),'Berechnung-WÜ-Material'!$AT$110,IF(AND('Daten-Materialien'!E95&gt;=0.3,'Daten-Materialien'!E95&lt;0.6),'Berechnung-WÜ-Material'!$AU$110,IF(AND(E95&gt;=0.6,E95&lt;1),'Berechnung-WÜ-Material'!$AV$110,IF(AND('Daten-Materialien'!E95&gt;=1,'Daten-Materialien'!E95&lt;1.5),'Berechnung-WÜ-Material'!$AW$110,IF('Daten-Materialien'!E95&gt;1.5,'Berechnung-WÜ-Material'!$AX$110,"FEHLER"))))))</f>
        <v>7.4603395508911365</v>
      </c>
      <c r="S95" s="241">
        <f>IF(K95&lt;15,'Berechnung-WÜ-Material'!$AZ$110,IF(AND(K95&gt;=15,K95&lt;30),'Berechnung-WÜ-Material'!$BA$110,IF(AND('Daten-Materialien'!K95&gt;=30,'Daten-Materialien'!K95&lt;45),'Berechnung-WÜ-Material'!$BB$110,IF(AND(K95&gt;=45,K95&lt;60),'Berechnung-WÜ-Material'!$BC$110,IF(AND('Daten-Materialien'!K95&gt;=60,'Daten-Materialien'!K95&lt;75),'Berechnung-WÜ-Material'!$BD$110,IF('Daten-Materialien'!K95&gt;75,'Berechnung-WÜ-Material'!$BE$110,"FEHLER"))))))</f>
        <v>5.9436257603083487</v>
      </c>
      <c r="T95" s="241">
        <f>SUM(Q95:S95)+(L95*3*'Berechnung-WÜ-Material'!$G$22)</f>
        <v>15.715150072952124</v>
      </c>
      <c r="U95" s="241">
        <f t="shared" si="12"/>
        <v>47.09314842299765</v>
      </c>
      <c r="V95" s="241">
        <f>100/'Berechnung-WÜ-Material'!$BF$112*'Daten-Materialien'!T95</f>
        <v>76.709616528211114</v>
      </c>
      <c r="W95" s="241">
        <f t="shared" si="13"/>
        <v>70</v>
      </c>
      <c r="X95" s="241" t="str">
        <f t="shared" si="16"/>
        <v/>
      </c>
      <c r="Y95" s="241">
        <f t="shared" si="17"/>
        <v>1</v>
      </c>
      <c r="Z95" s="241" t="str">
        <f t="shared" si="18"/>
        <v/>
      </c>
      <c r="AB95" s="241" t="s">
        <v>875</v>
      </c>
    </row>
    <row r="96" spans="1:28" ht="39" x14ac:dyDescent="0.25">
      <c r="A96" s="241" t="str">
        <f t="shared" si="14"/>
        <v/>
      </c>
      <c r="B96" s="241" t="s">
        <v>676</v>
      </c>
      <c r="D96" s="340">
        <v>0.36</v>
      </c>
      <c r="E96" s="241">
        <f t="shared" si="15"/>
        <v>0.36</v>
      </c>
      <c r="G96" s="241">
        <v>73</v>
      </c>
      <c r="H96" s="241">
        <f t="shared" si="10"/>
        <v>73</v>
      </c>
      <c r="J96" s="241">
        <v>37</v>
      </c>
      <c r="K96" s="241">
        <f t="shared" si="11"/>
        <v>37</v>
      </c>
      <c r="L96" s="241">
        <v>0</v>
      </c>
      <c r="M96" s="241">
        <f>(1.8-2.5)/2.5*100</f>
        <v>-27.999999999999996</v>
      </c>
      <c r="N96" s="130" t="s">
        <v>675</v>
      </c>
      <c r="O96" s="130"/>
      <c r="P96" s="130"/>
      <c r="Q96" s="241">
        <f>IF(H96&lt;60,'Berechnung-WÜ-Material'!$AL$110,IF(AND(H96&gt;=60,H96&lt;80),'Berechnung-WÜ-Material'!$AM$110,IF(AND('Daten-Materialien'!H96&gt;=80,'Daten-Materialien'!H96&lt;100),'Berechnung-WÜ-Material'!$AN$110,IF(AND(H96&gt;=100,H96&lt;120),'Berechnung-WÜ-Material'!$AO$110,IF(AND('Daten-Materialien'!H96&gt;=120,'Daten-Materialien'!H96&lt;140),'Berechnung-WÜ-Material'!$AP$110,IF('Daten-Materialien'!H96&gt;140,'Berechnung-WÜ-Material'!$AQ$110,"FEHLER"))))))</f>
        <v>1.4830749679207913</v>
      </c>
      <c r="R96" s="241">
        <f>IF(E96&lt;0.1,'Berechnung-WÜ-Material'!$AS$110,IF(AND(E96&gt;=0.1,E96&lt;0.3),'Berechnung-WÜ-Material'!$AT$110,IF(AND('Daten-Materialien'!E96&gt;=0.3,'Daten-Materialien'!E96&lt;0.6),'Berechnung-WÜ-Material'!$AU$110,IF(AND(E96&gt;=0.6,E96&lt;1),'Berechnung-WÜ-Material'!$AV$110,IF(AND('Daten-Materialien'!E96&gt;=1,'Daten-Materialien'!E96&lt;1.5),'Berechnung-WÜ-Material'!$AW$110,IF('Daten-Materialien'!E96&gt;1.5,'Berechnung-WÜ-Material'!$AX$110,"FEHLER"))))))</f>
        <v>7.4603395508911365</v>
      </c>
      <c r="S96" s="241">
        <f>IF(K96&lt;15,'Berechnung-WÜ-Material'!$AZ$110,IF(AND(K96&gt;=15,K96&lt;30),'Berechnung-WÜ-Material'!$BA$110,IF(AND('Daten-Materialien'!K96&gt;=30,'Daten-Materialien'!K96&lt;45),'Berechnung-WÜ-Material'!$BB$110,IF(AND(K96&gt;=45,K96&lt;60),'Berechnung-WÜ-Material'!$BC$110,IF(AND('Daten-Materialien'!K96&gt;=60,'Daten-Materialien'!K96&lt;75),'Berechnung-WÜ-Material'!$BD$110,IF('Daten-Materialien'!K96&gt;75,'Berechnung-WÜ-Material'!$BE$110,"FEHLER"))))))</f>
        <v>5.9436257603083487</v>
      </c>
      <c r="T96" s="241">
        <f>SUM(Q96:S96)+(L96*3*'Berechnung-WÜ-Material'!$G$22)</f>
        <v>14.887040279120276</v>
      </c>
      <c r="U96" s="241">
        <f t="shared" si="12"/>
        <v>44.02607511226396</v>
      </c>
      <c r="V96" s="241">
        <f>100/'Berechnung-WÜ-Material'!$BF$112*'Daten-Materialien'!T96</f>
        <v>72.667403476906543</v>
      </c>
      <c r="W96" s="241">
        <f t="shared" si="13"/>
        <v>107</v>
      </c>
      <c r="X96" s="241" t="str">
        <f t="shared" si="16"/>
        <v/>
      </c>
      <c r="Y96" s="241">
        <f t="shared" si="17"/>
        <v>1</v>
      </c>
      <c r="Z96" s="241" t="str">
        <f t="shared" si="18"/>
        <v/>
      </c>
      <c r="AB96" s="241" t="s">
        <v>873</v>
      </c>
    </row>
    <row r="97" spans="1:28" ht="39" x14ac:dyDescent="0.25">
      <c r="A97" s="241" t="str">
        <f t="shared" si="14"/>
        <v/>
      </c>
      <c r="B97" s="241" t="s">
        <v>677</v>
      </c>
      <c r="D97" s="340">
        <v>0.16700000000000001</v>
      </c>
      <c r="E97" s="241">
        <f t="shared" si="15"/>
        <v>0.16700000000000001</v>
      </c>
      <c r="G97" s="337">
        <v>73</v>
      </c>
      <c r="H97" s="241">
        <f t="shared" si="10"/>
        <v>73</v>
      </c>
      <c r="J97" s="241">
        <v>32</v>
      </c>
      <c r="K97" s="241">
        <f t="shared" si="11"/>
        <v>32</v>
      </c>
      <c r="L97" s="241">
        <v>0</v>
      </c>
      <c r="M97" s="241">
        <v>-100</v>
      </c>
      <c r="N97" s="130" t="s">
        <v>675</v>
      </c>
      <c r="O97" s="130"/>
      <c r="P97" s="130"/>
      <c r="Q97" s="241">
        <f>IF(H97&lt;60,'Berechnung-WÜ-Material'!$AL$110,IF(AND(H97&gt;=60,H97&lt;80),'Berechnung-WÜ-Material'!$AM$110,IF(AND('Daten-Materialien'!H97&gt;=80,'Daten-Materialien'!H97&lt;100),'Berechnung-WÜ-Material'!$AN$110,IF(AND(H97&gt;=100,H97&lt;120),'Berechnung-WÜ-Material'!$AO$110,IF(AND('Daten-Materialien'!H97&gt;=120,'Daten-Materialien'!H97&lt;140),'Berechnung-WÜ-Material'!$AP$110,IF('Daten-Materialien'!H97&gt;140,'Berechnung-WÜ-Material'!$AQ$110,"FEHLER"))))))</f>
        <v>1.4830749679207913</v>
      </c>
      <c r="R97" s="241">
        <f>IF(E97&lt;0.1,'Berechnung-WÜ-Material'!$AS$110,IF(AND(E97&gt;=0.1,E97&lt;0.3),'Berechnung-WÜ-Material'!$AT$110,IF(AND('Daten-Materialien'!E97&gt;=0.3,'Daten-Materialien'!E97&lt;0.6),'Berechnung-WÜ-Material'!$AU$110,IF(AND(E97&gt;=0.6,E97&lt;1),'Berechnung-WÜ-Material'!$AV$110,IF(AND('Daten-Materialien'!E97&gt;=1,'Daten-Materialien'!E97&lt;1.5),'Berechnung-WÜ-Material'!$AW$110,IF('Daten-Materialien'!E97&gt;1.5,'Berechnung-WÜ-Material'!$AX$110,"FEHLER"))))))</f>
        <v>8.1415883793382715</v>
      </c>
      <c r="S97" s="241">
        <f>IF(K97&lt;15,'Berechnung-WÜ-Material'!$AZ$110,IF(AND(K97&gt;=15,K97&lt;30),'Berechnung-WÜ-Material'!$BA$110,IF(AND('Daten-Materialien'!K97&gt;=30,'Daten-Materialien'!K97&lt;45),'Berechnung-WÜ-Material'!$BB$110,IF(AND(K97&gt;=45,K97&lt;60),'Berechnung-WÜ-Material'!$BC$110,IF(AND('Daten-Materialien'!K97&gt;=60,'Daten-Materialien'!K97&lt;75),'Berechnung-WÜ-Material'!$BD$110,IF('Daten-Materialien'!K97&gt;75,'Berechnung-WÜ-Material'!$BE$110,"FEHLER"))))))</f>
        <v>5.9436257603083487</v>
      </c>
      <c r="T97" s="241">
        <f>SUM(Q97:S97)+(L97*3*'Berechnung-WÜ-Material'!$G$22)</f>
        <v>15.568289107567411</v>
      </c>
      <c r="U97" s="241">
        <f t="shared" si="12"/>
        <v>46.549218921529274</v>
      </c>
      <c r="V97" s="241">
        <f>100/'Berechnung-WÜ-Material'!$BF$112*'Daten-Materialien'!T97</f>
        <v>75.99275106492712</v>
      </c>
      <c r="W97" s="241">
        <f t="shared" si="13"/>
        <v>80</v>
      </c>
      <c r="X97" s="241" t="str">
        <f t="shared" si="16"/>
        <v/>
      </c>
      <c r="Y97" s="241">
        <f t="shared" si="17"/>
        <v>1</v>
      </c>
      <c r="Z97" s="241" t="str">
        <f t="shared" si="18"/>
        <v/>
      </c>
      <c r="AB97" s="241" t="s">
        <v>874</v>
      </c>
    </row>
    <row r="98" spans="1:28" ht="51.75" x14ac:dyDescent="0.25">
      <c r="A98" s="241" t="str">
        <f t="shared" si="14"/>
        <v/>
      </c>
      <c r="B98" s="241" t="s">
        <v>863</v>
      </c>
      <c r="D98" s="337">
        <v>0.15</v>
      </c>
      <c r="E98" s="241">
        <f t="shared" si="15"/>
        <v>0.15</v>
      </c>
      <c r="G98" s="337">
        <v>58</v>
      </c>
      <c r="H98" s="241">
        <f t="shared" si="10"/>
        <v>58</v>
      </c>
      <c r="J98" s="241">
        <v>50</v>
      </c>
      <c r="K98" s="241">
        <f t="shared" si="11"/>
        <v>50</v>
      </c>
      <c r="L98" s="241">
        <v>0.5</v>
      </c>
      <c r="M98" s="241">
        <v>0</v>
      </c>
      <c r="N98" s="130" t="s">
        <v>678</v>
      </c>
      <c r="O98" s="130"/>
      <c r="P98" s="130"/>
      <c r="Q98" s="241">
        <f>IF(H98&lt;60,'Berechnung-WÜ-Material'!$AL$110,IF(AND(H98&gt;=60,H98&lt;80),'Berechnung-WÜ-Material'!$AM$110,IF(AND('Daten-Materialien'!H98&gt;=80,'Daten-Materialien'!H98&lt;100),'Berechnung-WÜ-Material'!$AN$110,IF(AND(H98&gt;=100,H98&lt;120),'Berechnung-WÜ-Material'!$AO$110,IF(AND('Daten-Materialien'!H98&gt;=120,'Daten-Materialien'!H98&lt;140),'Berechnung-WÜ-Material'!$AP$110,IF('Daten-Materialien'!H98&gt;140,'Berechnung-WÜ-Material'!$AQ$110,"FEHLER"))))))</f>
        <v>2.2063369805171464</v>
      </c>
      <c r="R98" s="241">
        <f>IF(E98&lt;0.1,'Berechnung-WÜ-Material'!$AS$110,IF(AND(E98&gt;=0.1,E98&lt;0.3),'Berechnung-WÜ-Material'!$AT$110,IF(AND('Daten-Materialien'!E98&gt;=0.3,'Daten-Materialien'!E98&lt;0.6),'Berechnung-WÜ-Material'!$AU$110,IF(AND(E98&gt;=0.6,E98&lt;1),'Berechnung-WÜ-Material'!$AV$110,IF(AND('Daten-Materialien'!E98&gt;=1,'Daten-Materialien'!E98&lt;1.5),'Berechnung-WÜ-Material'!$AW$110,IF('Daten-Materialien'!E98&gt;1.5,'Berechnung-WÜ-Material'!$AX$110,"FEHLER"))))))</f>
        <v>8.1415883793382715</v>
      </c>
      <c r="S98" s="241">
        <f>IF(K98&lt;15,'Berechnung-WÜ-Material'!$AZ$110,IF(AND(K98&gt;=15,K98&lt;30),'Berechnung-WÜ-Material'!$BA$110,IF(AND('Daten-Materialien'!K98&gt;=30,'Daten-Materialien'!K98&lt;45),'Berechnung-WÜ-Material'!$BB$110,IF(AND(K98&gt;=45,K98&lt;60),'Berechnung-WÜ-Material'!$BC$110,IF(AND('Daten-Materialien'!K98&gt;=60,'Daten-Materialien'!K98&lt;75),'Berechnung-WÜ-Material'!$BD$110,IF('Daten-Materialien'!K98&gt;75,'Berechnung-WÜ-Material'!$BE$110,"FEHLER"))))))</f>
        <v>2.6681383364247617</v>
      </c>
      <c r="T98" s="241">
        <f>SUM(Q98:S98)+(L98*3*'Berechnung-WÜ-Material'!$G$22)</f>
        <v>13.844173490112029</v>
      </c>
      <c r="U98" s="241">
        <f t="shared" si="12"/>
        <v>40.163605523035528</v>
      </c>
      <c r="V98" s="241">
        <f>100/'Berechnung-WÜ-Material'!$BF$112*'Daten-Materialien'!T98</f>
        <v>67.576907293066938</v>
      </c>
      <c r="W98" s="241">
        <f t="shared" ref="W98:W126" si="19">RANK(V98,$V$2:$V$238)</f>
        <v>132</v>
      </c>
      <c r="X98" s="241" t="str">
        <f t="shared" si="16"/>
        <v/>
      </c>
      <c r="Y98" s="241">
        <f t="shared" si="17"/>
        <v>1</v>
      </c>
      <c r="Z98" s="241" t="str">
        <f t="shared" si="18"/>
        <v/>
      </c>
      <c r="AB98" s="241" t="s">
        <v>765</v>
      </c>
    </row>
    <row r="99" spans="1:28" ht="51.75" x14ac:dyDescent="0.25">
      <c r="A99" s="241" t="str">
        <f t="shared" si="14"/>
        <v/>
      </c>
      <c r="B99" s="241" t="s">
        <v>883</v>
      </c>
      <c r="D99" s="337">
        <v>0.15</v>
      </c>
      <c r="E99" s="241">
        <f t="shared" si="15"/>
        <v>0.15</v>
      </c>
      <c r="G99" s="337">
        <v>72</v>
      </c>
      <c r="H99" s="241">
        <f t="shared" si="10"/>
        <v>72</v>
      </c>
      <c r="J99" s="241">
        <v>42</v>
      </c>
      <c r="K99" s="241">
        <f t="shared" si="11"/>
        <v>42</v>
      </c>
      <c r="L99" s="241">
        <v>0.5</v>
      </c>
      <c r="M99" s="241">
        <v>0</v>
      </c>
      <c r="N99" s="130" t="s">
        <v>678</v>
      </c>
      <c r="O99" s="130"/>
      <c r="P99" s="130"/>
      <c r="Q99" s="241">
        <f>IF(H99&lt;60,'Berechnung-WÜ-Material'!$AL$110,IF(AND(H99&gt;=60,H99&lt;80),'Berechnung-WÜ-Material'!$AM$110,IF(AND('Daten-Materialien'!H99&gt;=80,'Daten-Materialien'!H99&lt;100),'Berechnung-WÜ-Material'!$AN$110,IF(AND(H99&gt;=100,H99&lt;120),'Berechnung-WÜ-Material'!$AO$110,IF(AND('Daten-Materialien'!H99&gt;=120,'Daten-Materialien'!H99&lt;140),'Berechnung-WÜ-Material'!$AP$110,IF('Daten-Materialien'!H99&gt;140,'Berechnung-WÜ-Material'!$AQ$110,"FEHLER"))))))</f>
        <v>1.4830749679207913</v>
      </c>
      <c r="R99" s="241">
        <f>IF(E99&lt;0.1,'Berechnung-WÜ-Material'!$AS$110,IF(AND(E99&gt;=0.1,E99&lt;0.3),'Berechnung-WÜ-Material'!$AT$110,IF(AND('Daten-Materialien'!E99&gt;=0.3,'Daten-Materialien'!E99&lt;0.6),'Berechnung-WÜ-Material'!$AU$110,IF(AND(E99&gt;=0.6,E99&lt;1),'Berechnung-WÜ-Material'!$AV$110,IF(AND('Daten-Materialien'!E99&gt;=1,'Daten-Materialien'!E99&lt;1.5),'Berechnung-WÜ-Material'!$AW$110,IF('Daten-Materialien'!E99&gt;1.5,'Berechnung-WÜ-Material'!$AX$110,"FEHLER"))))))</f>
        <v>8.1415883793382715</v>
      </c>
      <c r="S99" s="241">
        <f>IF(K99&lt;15,'Berechnung-WÜ-Material'!$AZ$110,IF(AND(K99&gt;=15,K99&lt;30),'Berechnung-WÜ-Material'!$BA$110,IF(AND('Daten-Materialien'!K99&gt;=30,'Daten-Materialien'!K99&lt;45),'Berechnung-WÜ-Material'!$BB$110,IF(AND(K99&gt;=45,K99&lt;60),'Berechnung-WÜ-Material'!$BC$110,IF(AND('Daten-Materialien'!K99&gt;=60,'Daten-Materialien'!K99&lt;75),'Berechnung-WÜ-Material'!$BD$110,IF('Daten-Materialien'!K99&gt;75,'Berechnung-WÜ-Material'!$BE$110,"FEHLER"))))))</f>
        <v>5.9436257603083487</v>
      </c>
      <c r="T99" s="241">
        <f>SUM(Q99:S99)+(L99*3*'Berechnung-WÜ-Material'!$G$22)</f>
        <v>16.396398901399259</v>
      </c>
      <c r="U99" s="241">
        <f t="shared" si="12"/>
        <v>49.616292232262964</v>
      </c>
      <c r="V99" s="241">
        <f>100/'Berechnung-WÜ-Material'!$BF$112*'Daten-Materialien'!T99</f>
        <v>80.034964116231691</v>
      </c>
      <c r="W99" s="241">
        <f t="shared" si="19"/>
        <v>37</v>
      </c>
      <c r="X99" s="241" t="str">
        <f t="shared" si="16"/>
        <v/>
      </c>
      <c r="Y99" s="241">
        <f t="shared" si="17"/>
        <v>1</v>
      </c>
      <c r="Z99" s="241" t="str">
        <f t="shared" si="18"/>
        <v/>
      </c>
      <c r="AB99" s="241" t="s">
        <v>892</v>
      </c>
    </row>
    <row r="100" spans="1:28" ht="51.75" x14ac:dyDescent="0.25">
      <c r="A100" s="241" t="str">
        <f t="shared" si="14"/>
        <v/>
      </c>
      <c r="B100" s="241" t="s">
        <v>897</v>
      </c>
      <c r="D100" s="337">
        <v>0.09</v>
      </c>
      <c r="E100" s="241">
        <f t="shared" si="15"/>
        <v>0.09</v>
      </c>
      <c r="G100" s="337">
        <v>83</v>
      </c>
      <c r="H100" s="241">
        <f t="shared" si="10"/>
        <v>83</v>
      </c>
      <c r="J100" s="241">
        <v>26</v>
      </c>
      <c r="K100" s="241">
        <f t="shared" si="11"/>
        <v>26</v>
      </c>
      <c r="L100" s="241">
        <v>0</v>
      </c>
      <c r="M100" s="241">
        <f>(0.5-2.5)/2.5*100</f>
        <v>-80</v>
      </c>
      <c r="N100" s="130" t="s">
        <v>678</v>
      </c>
      <c r="O100" s="130"/>
      <c r="P100" s="130"/>
      <c r="Q100" s="241">
        <f>IF(H100&lt;60,'Berechnung-WÜ-Material'!$AL$110,IF(AND(H100&gt;=60,H100&lt;80),'Berechnung-WÜ-Material'!$AM$110,IF(AND('Daten-Materialien'!H100&gt;=80,'Daten-Materialien'!H100&lt;100),'Berechnung-WÜ-Material'!$AN$110,IF(AND(H100&gt;=100,H100&lt;120),'Berechnung-WÜ-Material'!$AO$110,IF(AND('Daten-Materialien'!H100&gt;=120,'Daten-Materialien'!H100&lt;140),'Berechnung-WÜ-Material'!$AP$110,IF('Daten-Materialien'!H100&gt;140,'Berechnung-WÜ-Material'!$AQ$110,"FEHLER"))))))</f>
        <v>2.9517194566014666</v>
      </c>
      <c r="R100" s="241">
        <f>IF(E100&lt;0.1,'Berechnung-WÜ-Material'!$AS$110,IF(AND(E100&gt;=0.1,E100&lt;0.3),'Berechnung-WÜ-Material'!$AT$110,IF(AND('Daten-Materialien'!E100&gt;=0.3,'Daten-Materialien'!E100&lt;0.6),'Berechnung-WÜ-Material'!$AU$110,IF(AND(E100&gt;=0.6,E100&lt;1),'Berechnung-WÜ-Material'!$AV$110,IF(AND('Daten-Materialien'!E100&gt;=1,'Daten-Materialien'!E100&lt;1.5),'Berechnung-WÜ-Material'!$AW$110,IF('Daten-Materialien'!E100&gt;1.5,'Berechnung-WÜ-Material'!$AX$110,"FEHLER"))))))</f>
        <v>5.4090960472347849</v>
      </c>
      <c r="S100" s="241">
        <f>IF(K100&lt;15,'Berechnung-WÜ-Material'!$AZ$110,IF(AND(K100&gt;=15,K100&lt;30),'Berechnung-WÜ-Material'!$BA$110,IF(AND('Daten-Materialien'!K100&gt;=30,'Daten-Materialien'!K100&lt;45),'Berechnung-WÜ-Material'!$BB$110,IF(AND(K100&gt;=45,K100&lt;60),'Berechnung-WÜ-Material'!$BC$110,IF(AND('Daten-Materialien'!K100&gt;=60,'Daten-Materialien'!K100&lt;75),'Berechnung-WÜ-Material'!$BD$110,IF('Daten-Materialien'!K100&gt;75,'Berechnung-WÜ-Material'!$BE$110,"FEHLER"))))))</f>
        <v>5.3164008462907759</v>
      </c>
      <c r="T100" s="241">
        <f>SUM(Q100:S100)+(L100*3*'Berechnung-WÜ-Material'!$G$22)</f>
        <v>13.677216350127027</v>
      </c>
      <c r="U100" s="241">
        <f t="shared" si="12"/>
        <v>39.545245745263834</v>
      </c>
      <c r="V100" s="241">
        <f>100/'Berechnung-WÜ-Material'!$BF$112*'Daten-Materialien'!T100</f>
        <v>66.761947326064188</v>
      </c>
      <c r="W100" s="241">
        <f t="shared" si="19"/>
        <v>145</v>
      </c>
      <c r="X100" s="241" t="str">
        <f t="shared" si="16"/>
        <v/>
      </c>
      <c r="Y100" s="241">
        <f t="shared" si="17"/>
        <v>1</v>
      </c>
      <c r="Z100" s="241" t="str">
        <f t="shared" si="18"/>
        <v/>
      </c>
      <c r="AB100" s="241" t="s">
        <v>890</v>
      </c>
    </row>
    <row r="101" spans="1:28" ht="51.75" x14ac:dyDescent="0.25">
      <c r="A101" s="241" t="str">
        <f t="shared" si="14"/>
        <v/>
      </c>
      <c r="B101" s="241" t="s">
        <v>897</v>
      </c>
      <c r="D101" s="337">
        <v>0.09</v>
      </c>
      <c r="E101" s="241">
        <f t="shared" si="15"/>
        <v>0.09</v>
      </c>
      <c r="G101" s="337">
        <v>83</v>
      </c>
      <c r="H101" s="241">
        <f t="shared" si="10"/>
        <v>83</v>
      </c>
      <c r="J101" s="241">
        <v>28</v>
      </c>
      <c r="K101" s="241">
        <f t="shared" si="11"/>
        <v>28</v>
      </c>
      <c r="L101" s="241">
        <v>0</v>
      </c>
      <c r="M101" s="241">
        <f>(0.5-2.5)/2.5*100</f>
        <v>-80</v>
      </c>
      <c r="N101" s="130" t="s">
        <v>678</v>
      </c>
      <c r="O101" s="130"/>
      <c r="P101" s="130"/>
      <c r="Q101" s="241">
        <f>IF(H101&lt;60,'Berechnung-WÜ-Material'!$AL$110,IF(AND(H101&gt;=60,H101&lt;80),'Berechnung-WÜ-Material'!$AM$110,IF(AND('Daten-Materialien'!H101&gt;=80,'Daten-Materialien'!H101&lt;100),'Berechnung-WÜ-Material'!$AN$110,IF(AND(H101&gt;=100,H101&lt;120),'Berechnung-WÜ-Material'!$AO$110,IF(AND('Daten-Materialien'!H101&gt;=120,'Daten-Materialien'!H101&lt;140),'Berechnung-WÜ-Material'!$AP$110,IF('Daten-Materialien'!H101&gt;140,'Berechnung-WÜ-Material'!$AQ$110,"FEHLER"))))))</f>
        <v>2.9517194566014666</v>
      </c>
      <c r="R101" s="241">
        <f>IF(E101&lt;0.1,'Berechnung-WÜ-Material'!$AS$110,IF(AND(E101&gt;=0.1,E101&lt;0.3),'Berechnung-WÜ-Material'!$AT$110,IF(AND('Daten-Materialien'!E101&gt;=0.3,'Daten-Materialien'!E101&lt;0.6),'Berechnung-WÜ-Material'!$AU$110,IF(AND(E101&gt;=0.6,E101&lt;1),'Berechnung-WÜ-Material'!$AV$110,IF(AND('Daten-Materialien'!E101&gt;=1,'Daten-Materialien'!E101&lt;1.5),'Berechnung-WÜ-Material'!$AW$110,IF('Daten-Materialien'!E101&gt;1.5,'Berechnung-WÜ-Material'!$AX$110,"FEHLER"))))))</f>
        <v>5.4090960472347849</v>
      </c>
      <c r="S101" s="241">
        <f>IF(K101&lt;15,'Berechnung-WÜ-Material'!$AZ$110,IF(AND(K101&gt;=15,K101&lt;30),'Berechnung-WÜ-Material'!$BA$110,IF(AND('Daten-Materialien'!K101&gt;=30,'Daten-Materialien'!K101&lt;45),'Berechnung-WÜ-Material'!$BB$110,IF(AND(K101&gt;=45,K101&lt;60),'Berechnung-WÜ-Material'!$BC$110,IF(AND('Daten-Materialien'!K101&gt;=60,'Daten-Materialien'!K101&lt;75),'Berechnung-WÜ-Material'!$BD$110,IF('Daten-Materialien'!K101&gt;75,'Berechnung-WÜ-Material'!$BE$110,"FEHLER"))))))</f>
        <v>5.3164008462907759</v>
      </c>
      <c r="T101" s="241">
        <f>SUM(Q101:S101)+(L101*3*'Berechnung-WÜ-Material'!$G$22)</f>
        <v>13.677216350127027</v>
      </c>
      <c r="U101" s="241">
        <f t="shared" si="12"/>
        <v>39.545245745263834</v>
      </c>
      <c r="V101" s="241">
        <f>100/'Berechnung-WÜ-Material'!$BF$112*'Daten-Materialien'!T101</f>
        <v>66.761947326064188</v>
      </c>
      <c r="W101" s="241">
        <f t="shared" si="19"/>
        <v>145</v>
      </c>
      <c r="X101" s="241" t="str">
        <f t="shared" si="16"/>
        <v/>
      </c>
      <c r="Y101" s="241">
        <f t="shared" si="17"/>
        <v>1</v>
      </c>
      <c r="Z101" s="241" t="str">
        <f t="shared" si="18"/>
        <v/>
      </c>
      <c r="AB101" s="241" t="s">
        <v>891</v>
      </c>
    </row>
    <row r="102" spans="1:28" ht="51.75" x14ac:dyDescent="0.25">
      <c r="A102" s="241" t="str">
        <f t="shared" si="14"/>
        <v/>
      </c>
      <c r="B102" s="241" t="s">
        <v>679</v>
      </c>
      <c r="D102" s="337">
        <v>0.04</v>
      </c>
      <c r="E102" s="241">
        <f t="shared" si="15"/>
        <v>0.04</v>
      </c>
      <c r="F102" s="339"/>
      <c r="G102" s="339">
        <v>74</v>
      </c>
      <c r="H102" s="241">
        <f t="shared" si="10"/>
        <v>74</v>
      </c>
      <c r="J102" s="241">
        <v>19</v>
      </c>
      <c r="K102" s="241">
        <f t="shared" si="11"/>
        <v>19</v>
      </c>
      <c r="L102" s="241">
        <v>0</v>
      </c>
      <c r="M102" s="241">
        <f>(0.7-2.5)/2.5*100</f>
        <v>-72</v>
      </c>
      <c r="N102" s="130" t="s">
        <v>680</v>
      </c>
      <c r="O102" s="130"/>
      <c r="P102" s="130"/>
      <c r="Q102" s="241">
        <f>IF(H102&lt;60,'Berechnung-WÜ-Material'!$AL$110,IF(AND(H102&gt;=60,H102&lt;80),'Berechnung-WÜ-Material'!$AM$110,IF(AND('Daten-Materialien'!H102&gt;=80,'Daten-Materialien'!H102&lt;100),'Berechnung-WÜ-Material'!$AN$110,IF(AND(H102&gt;=100,H102&lt;120),'Berechnung-WÜ-Material'!$AO$110,IF(AND('Daten-Materialien'!H102&gt;=120,'Daten-Materialien'!H102&lt;140),'Berechnung-WÜ-Material'!$AP$110,IF('Daten-Materialien'!H102&gt;140,'Berechnung-WÜ-Material'!$AQ$110,"FEHLER"))))))</f>
        <v>1.4830749679207913</v>
      </c>
      <c r="R102" s="241">
        <f>IF(E102&lt;0.1,'Berechnung-WÜ-Material'!$AS$110,IF(AND(E102&gt;=0.1,E102&lt;0.3),'Berechnung-WÜ-Material'!$AT$110,IF(AND('Daten-Materialien'!E102&gt;=0.3,'Daten-Materialien'!E102&lt;0.6),'Berechnung-WÜ-Material'!$AU$110,IF(AND(E102&gt;=0.6,E102&lt;1),'Berechnung-WÜ-Material'!$AV$110,IF(AND('Daten-Materialien'!E102&gt;=1,'Daten-Materialien'!E102&lt;1.5),'Berechnung-WÜ-Material'!$AW$110,IF('Daten-Materialien'!E102&gt;1.5,'Berechnung-WÜ-Material'!$AX$110,"FEHLER"))))))</f>
        <v>5.4090960472347849</v>
      </c>
      <c r="S102" s="241">
        <f>IF(K102&lt;15,'Berechnung-WÜ-Material'!$AZ$110,IF(AND(K102&gt;=15,K102&lt;30),'Berechnung-WÜ-Material'!$BA$110,IF(AND('Daten-Materialien'!K102&gt;=30,'Daten-Materialien'!K102&lt;45),'Berechnung-WÜ-Material'!$BB$110,IF(AND(K102&gt;=45,K102&lt;60),'Berechnung-WÜ-Material'!$BC$110,IF(AND('Daten-Materialien'!K102&gt;=60,'Daten-Materialien'!K102&lt;75),'Berechnung-WÜ-Material'!$BD$110,IF('Daten-Materialien'!K102&gt;75,'Berechnung-WÜ-Material'!$BE$110,"FEHLER"))))))</f>
        <v>5.3164008462907759</v>
      </c>
      <c r="T102" s="241">
        <f>SUM(Q102:S102)+(L102*3*'Berechnung-WÜ-Material'!$G$22)</f>
        <v>12.208571861446352</v>
      </c>
      <c r="U102" s="241">
        <f t="shared" si="12"/>
        <v>34.105821712678029</v>
      </c>
      <c r="V102" s="241">
        <f>100/'Berechnung-WÜ-Material'!$BF$112*'Daten-Materialien'!T102</f>
        <v>59.593122655603878</v>
      </c>
      <c r="W102" s="241">
        <f t="shared" si="19"/>
        <v>196</v>
      </c>
      <c r="X102" s="241" t="str">
        <f t="shared" si="16"/>
        <v/>
      </c>
      <c r="Y102" s="241">
        <f t="shared" si="17"/>
        <v>1</v>
      </c>
      <c r="Z102" s="241" t="str">
        <f t="shared" si="18"/>
        <v/>
      </c>
      <c r="AB102" s="241" t="s">
        <v>670</v>
      </c>
    </row>
    <row r="103" spans="1:28" ht="51.75" x14ac:dyDescent="0.25">
      <c r="A103" s="241" t="str">
        <f t="shared" si="14"/>
        <v/>
      </c>
      <c r="B103" s="241" t="s">
        <v>681</v>
      </c>
      <c r="D103" s="337">
        <v>0.04</v>
      </c>
      <c r="E103" s="241">
        <f t="shared" si="15"/>
        <v>0.04</v>
      </c>
      <c r="F103" s="339"/>
      <c r="G103" s="337">
        <v>91</v>
      </c>
      <c r="H103" s="241">
        <f t="shared" si="10"/>
        <v>91</v>
      </c>
      <c r="J103" s="337">
        <v>120</v>
      </c>
      <c r="K103" s="241">
        <f t="shared" si="11"/>
        <v>120</v>
      </c>
      <c r="L103" s="241">
        <v>0</v>
      </c>
      <c r="M103" s="241">
        <v>-26</v>
      </c>
      <c r="N103" s="130" t="s">
        <v>682</v>
      </c>
      <c r="O103" s="130"/>
      <c r="P103" s="130"/>
      <c r="Q103" s="241">
        <f>IF(H103&lt;60,'Berechnung-WÜ-Material'!$AL$110,IF(AND(H103&gt;=60,H103&lt;80),'Berechnung-WÜ-Material'!$AM$110,IF(AND('Daten-Materialien'!H103&gt;=80,'Daten-Materialien'!H103&lt;100),'Berechnung-WÜ-Material'!$AN$110,IF(AND(H103&gt;=100,H103&lt;120),'Berechnung-WÜ-Material'!$AO$110,IF(AND('Daten-Materialien'!H103&gt;=120,'Daten-Materialien'!H103&lt;140),'Berechnung-WÜ-Material'!$AP$110,IF('Daten-Materialien'!H103&gt;140,'Berechnung-WÜ-Material'!$AQ$110,"FEHLER"))))))</f>
        <v>2.9517194566014666</v>
      </c>
      <c r="R103" s="241">
        <f>IF(E103&lt;0.1,'Berechnung-WÜ-Material'!$AS$110,IF(AND(E103&gt;=0.1,E103&lt;0.3),'Berechnung-WÜ-Material'!$AT$110,IF(AND('Daten-Materialien'!E103&gt;=0.3,'Daten-Materialien'!E103&lt;0.6),'Berechnung-WÜ-Material'!$AU$110,IF(AND(E103&gt;=0.6,E103&lt;1),'Berechnung-WÜ-Material'!$AV$110,IF(AND('Daten-Materialien'!E103&gt;=1,'Daten-Materialien'!E103&lt;1.5),'Berechnung-WÜ-Material'!$AW$110,IF('Daten-Materialien'!E103&gt;1.5,'Berechnung-WÜ-Material'!$AX$110,"FEHLER"))))))</f>
        <v>5.4090960472347849</v>
      </c>
      <c r="S103" s="241">
        <f>IF(K103&lt;15,'Berechnung-WÜ-Material'!$AZ$110,IF(AND(K103&gt;=15,K103&lt;30),'Berechnung-WÜ-Material'!$BA$110,IF(AND('Daten-Materialien'!K103&gt;=30,'Daten-Materialien'!K103&lt;45),'Berechnung-WÜ-Material'!$BB$110,IF(AND(K103&gt;=45,K103&lt;60),'Berechnung-WÜ-Material'!$BC$110,IF(AND('Daten-Materialien'!K103&gt;=60,'Daten-Materialien'!K103&lt;75),'Berechnung-WÜ-Material'!$BD$110,IF('Daten-Materialien'!K103&gt;75,'Berechnung-WÜ-Material'!$BE$110,"FEHLER"))))))</f>
        <v>4.7129870533027205</v>
      </c>
      <c r="T103" s="241">
        <f>SUM(Q103:S103)+(L103*3*'Berechnung-WÜ-Material'!$G$22)</f>
        <v>13.073802557138972</v>
      </c>
      <c r="U103" s="241">
        <f t="shared" si="12"/>
        <v>37.310379845129283</v>
      </c>
      <c r="V103" s="241">
        <f>100/'Berechnung-WÜ-Material'!$BF$112*'Daten-Materialien'!T103</f>
        <v>63.816532204154896</v>
      </c>
      <c r="W103" s="241">
        <f t="shared" si="19"/>
        <v>164</v>
      </c>
      <c r="X103" s="241" t="str">
        <f t="shared" si="16"/>
        <v/>
      </c>
      <c r="Y103" s="241">
        <f t="shared" si="17"/>
        <v>1</v>
      </c>
      <c r="Z103" s="241" t="str">
        <f t="shared" si="18"/>
        <v/>
      </c>
      <c r="AB103" s="241" t="s">
        <v>762</v>
      </c>
    </row>
    <row r="104" spans="1:28" ht="51.75" x14ac:dyDescent="0.25">
      <c r="A104" s="241" t="str">
        <f t="shared" si="14"/>
        <v/>
      </c>
      <c r="B104" s="241" t="s">
        <v>683</v>
      </c>
      <c r="D104" s="337">
        <v>0.04</v>
      </c>
      <c r="E104" s="241">
        <f t="shared" si="15"/>
        <v>0.04</v>
      </c>
      <c r="F104" s="339"/>
      <c r="G104" s="241">
        <v>3</v>
      </c>
      <c r="H104" s="241">
        <f t="shared" si="10"/>
        <v>3</v>
      </c>
      <c r="J104" s="241">
        <v>48</v>
      </c>
      <c r="K104" s="241">
        <f t="shared" si="11"/>
        <v>48</v>
      </c>
      <c r="L104" s="241">
        <v>0.5</v>
      </c>
      <c r="M104" s="241">
        <f>(0.7-2.5)/2.5*100</f>
        <v>-72</v>
      </c>
      <c r="N104" s="130" t="s">
        <v>680</v>
      </c>
      <c r="O104" s="130"/>
      <c r="P104" s="130"/>
      <c r="Q104" s="241">
        <f>IF(H104&lt;60,'Berechnung-WÜ-Material'!$AL$110,IF(AND(H104&gt;=60,H104&lt;80),'Berechnung-WÜ-Material'!$AM$110,IF(AND('Daten-Materialien'!H104&gt;=80,'Daten-Materialien'!H104&lt;100),'Berechnung-WÜ-Material'!$AN$110,IF(AND(H104&gt;=100,H104&lt;120),'Berechnung-WÜ-Material'!$AO$110,IF(AND('Daten-Materialien'!H104&gt;=120,'Daten-Materialien'!H104&lt;140),'Berechnung-WÜ-Material'!$AP$110,IF('Daten-Materialien'!H104&gt;140,'Berechnung-WÜ-Material'!$AQ$110,"FEHLER"))))))</f>
        <v>2.2063369805171464</v>
      </c>
      <c r="R104" s="241">
        <f>IF(E104&lt;0.1,'Berechnung-WÜ-Material'!$AS$110,IF(AND(E104&gt;=0.1,E104&lt;0.3),'Berechnung-WÜ-Material'!$AT$110,IF(AND('Daten-Materialien'!E104&gt;=0.3,'Daten-Materialien'!E104&lt;0.6),'Berechnung-WÜ-Material'!$AU$110,IF(AND(E104&gt;=0.6,E104&lt;1),'Berechnung-WÜ-Material'!$AV$110,IF(AND('Daten-Materialien'!E104&gt;=1,'Daten-Materialien'!E104&lt;1.5),'Berechnung-WÜ-Material'!$AW$110,IF('Daten-Materialien'!E104&gt;1.5,'Berechnung-WÜ-Material'!$AX$110,"FEHLER"))))))</f>
        <v>5.4090960472347849</v>
      </c>
      <c r="S104" s="241">
        <f>IF(K104&lt;15,'Berechnung-WÜ-Material'!$AZ$110,IF(AND(K104&gt;=15,K104&lt;30),'Berechnung-WÜ-Material'!$BA$110,IF(AND('Daten-Materialien'!K104&gt;=30,'Daten-Materialien'!K104&lt;45),'Berechnung-WÜ-Material'!$BB$110,IF(AND(K104&gt;=45,K104&lt;60),'Berechnung-WÜ-Material'!$BC$110,IF(AND('Daten-Materialien'!K104&gt;=60,'Daten-Materialien'!K104&lt;75),'Berechnung-WÜ-Material'!$BD$110,IF('Daten-Materialien'!K104&gt;75,'Berechnung-WÜ-Material'!$BE$110,"FEHLER"))))))</f>
        <v>2.6681383364247617</v>
      </c>
      <c r="T104" s="241">
        <f>SUM(Q104:S104)+(L104*3*'Berechnung-WÜ-Material'!$G$22)</f>
        <v>11.111681158008542</v>
      </c>
      <c r="U104" s="241">
        <f t="shared" si="12"/>
        <v>30.043263551472243</v>
      </c>
      <c r="V104" s="241">
        <f>100/'Berechnung-WÜ-Material'!$BF$112*'Daten-Materialien'!T104</f>
        <v>54.238922101140581</v>
      </c>
      <c r="W104" s="241">
        <f t="shared" si="19"/>
        <v>204</v>
      </c>
      <c r="X104" s="241" t="str">
        <f t="shared" si="16"/>
        <v/>
      </c>
      <c r="Y104" s="241">
        <f t="shared" si="17"/>
        <v>1</v>
      </c>
      <c r="Z104" s="241" t="str">
        <f t="shared" si="18"/>
        <v/>
      </c>
      <c r="AB104" s="241" t="s">
        <v>701</v>
      </c>
    </row>
    <row r="105" spans="1:28" ht="39" x14ac:dyDescent="0.25">
      <c r="A105" s="241" t="str">
        <f t="shared" si="14"/>
        <v/>
      </c>
      <c r="B105" s="241" t="s">
        <v>684</v>
      </c>
      <c r="D105" s="337">
        <v>0.04</v>
      </c>
      <c r="E105" s="241">
        <f t="shared" si="15"/>
        <v>0.04</v>
      </c>
      <c r="F105" s="339">
        <v>48</v>
      </c>
      <c r="G105" s="339">
        <v>58</v>
      </c>
      <c r="H105" s="241">
        <f t="shared" si="10"/>
        <v>53</v>
      </c>
      <c r="I105" s="241">
        <v>125</v>
      </c>
      <c r="J105" s="241">
        <v>140</v>
      </c>
      <c r="K105" s="241">
        <f t="shared" si="11"/>
        <v>132.5</v>
      </c>
      <c r="L105" s="241">
        <v>0.5</v>
      </c>
      <c r="M105" s="241">
        <f>(0.01-0.16)/0.16*100</f>
        <v>-93.75</v>
      </c>
      <c r="N105" s="130" t="s">
        <v>685</v>
      </c>
      <c r="O105" s="130"/>
      <c r="P105" s="130"/>
      <c r="Q105" s="241">
        <f>IF(H105&lt;60,'Berechnung-WÜ-Material'!$AL$110,IF(AND(H105&gt;=60,H105&lt;80),'Berechnung-WÜ-Material'!$AM$110,IF(AND('Daten-Materialien'!H105&gt;=80,'Daten-Materialien'!H105&lt;100),'Berechnung-WÜ-Material'!$AN$110,IF(AND(H105&gt;=100,H105&lt;120),'Berechnung-WÜ-Material'!$AO$110,IF(AND('Daten-Materialien'!H105&gt;=120,'Daten-Materialien'!H105&lt;140),'Berechnung-WÜ-Material'!$AP$110,IF('Daten-Materialien'!H105&gt;140,'Berechnung-WÜ-Material'!$AQ$110,"FEHLER"))))))</f>
        <v>2.2063369805171464</v>
      </c>
      <c r="R105" s="241">
        <f>IF(E105&lt;0.1,'Berechnung-WÜ-Material'!$AS$110,IF(AND(E105&gt;=0.1,E105&lt;0.3),'Berechnung-WÜ-Material'!$AT$110,IF(AND('Daten-Materialien'!E105&gt;=0.3,'Daten-Materialien'!E105&lt;0.6),'Berechnung-WÜ-Material'!$AU$110,IF(AND(E105&gt;=0.6,E105&lt;1),'Berechnung-WÜ-Material'!$AV$110,IF(AND('Daten-Materialien'!E105&gt;=1,'Daten-Materialien'!E105&lt;1.5),'Berechnung-WÜ-Material'!$AW$110,IF('Daten-Materialien'!E105&gt;1.5,'Berechnung-WÜ-Material'!$AX$110,"FEHLER"))))))</f>
        <v>5.4090960472347849</v>
      </c>
      <c r="S105" s="241">
        <f>IF(K105&lt;15,'Berechnung-WÜ-Material'!$AZ$110,IF(AND(K105&gt;=15,K105&lt;30),'Berechnung-WÜ-Material'!$BA$110,IF(AND('Daten-Materialien'!K105&gt;=30,'Daten-Materialien'!K105&lt;45),'Berechnung-WÜ-Material'!$BB$110,IF(AND(K105&gt;=45,K105&lt;60),'Berechnung-WÜ-Material'!$BC$110,IF(AND('Daten-Materialien'!K105&gt;=60,'Daten-Materialien'!K105&lt;75),'Berechnung-WÜ-Material'!$BD$110,IF('Daten-Materialien'!K105&gt;75,'Berechnung-WÜ-Material'!$BE$110,"FEHLER"))))))</f>
        <v>4.7129870533027205</v>
      </c>
      <c r="T105" s="241">
        <f>SUM(Q105:S105)+(L105*3*'Berechnung-WÜ-Material'!$G$22)</f>
        <v>13.1565298748865</v>
      </c>
      <c r="U105" s="241">
        <f t="shared" si="12"/>
        <v>37.61677731829279</v>
      </c>
      <c r="V105" s="241">
        <f>100/'Berechnung-WÜ-Material'!$BF$112*'Daten-Materialien'!T105</f>
        <v>64.220345135712108</v>
      </c>
      <c r="W105" s="241">
        <f t="shared" si="19"/>
        <v>157</v>
      </c>
      <c r="X105" s="241" t="str">
        <f t="shared" si="16"/>
        <v/>
      </c>
      <c r="Y105" s="241">
        <f t="shared" si="17"/>
        <v>1</v>
      </c>
      <c r="Z105" s="241" t="str">
        <f t="shared" si="18"/>
        <v/>
      </c>
      <c r="AB105" s="241" t="s">
        <v>734</v>
      </c>
    </row>
    <row r="106" spans="1:28" ht="39" x14ac:dyDescent="0.25">
      <c r="A106" s="241" t="str">
        <f t="shared" si="14"/>
        <v/>
      </c>
      <c r="B106" s="241" t="s">
        <v>684</v>
      </c>
      <c r="D106" s="337">
        <v>0.04</v>
      </c>
      <c r="E106" s="241">
        <f t="shared" si="15"/>
        <v>0.04</v>
      </c>
      <c r="F106" s="339"/>
      <c r="G106" s="339">
        <v>48</v>
      </c>
      <c r="H106" s="241">
        <f t="shared" si="10"/>
        <v>48</v>
      </c>
      <c r="J106" s="241">
        <v>124.79</v>
      </c>
      <c r="K106" s="241">
        <f t="shared" si="11"/>
        <v>124.79</v>
      </c>
      <c r="L106" s="241">
        <v>0.5</v>
      </c>
      <c r="M106" s="241">
        <v>-100</v>
      </c>
      <c r="N106" s="130" t="s">
        <v>685</v>
      </c>
      <c r="O106" s="130"/>
      <c r="P106" s="130"/>
      <c r="Q106" s="241">
        <f>IF(H106&lt;60,'Berechnung-WÜ-Material'!$AL$110,IF(AND(H106&gt;=60,H106&lt;80),'Berechnung-WÜ-Material'!$AM$110,IF(AND('Daten-Materialien'!H106&gt;=80,'Daten-Materialien'!H106&lt;100),'Berechnung-WÜ-Material'!$AN$110,IF(AND(H106&gt;=100,H106&lt;120),'Berechnung-WÜ-Material'!$AO$110,IF(AND('Daten-Materialien'!H106&gt;=120,'Daten-Materialien'!H106&lt;140),'Berechnung-WÜ-Material'!$AP$110,IF('Daten-Materialien'!H106&gt;140,'Berechnung-WÜ-Material'!$AQ$110,"FEHLER"))))))</f>
        <v>2.2063369805171464</v>
      </c>
      <c r="R106" s="241">
        <f>IF(E106&lt;0.1,'Berechnung-WÜ-Material'!$AS$110,IF(AND(E106&gt;=0.1,E106&lt;0.3),'Berechnung-WÜ-Material'!$AT$110,IF(AND('Daten-Materialien'!E106&gt;=0.3,'Daten-Materialien'!E106&lt;0.6),'Berechnung-WÜ-Material'!$AU$110,IF(AND(E106&gt;=0.6,E106&lt;1),'Berechnung-WÜ-Material'!$AV$110,IF(AND('Daten-Materialien'!E106&gt;=1,'Daten-Materialien'!E106&lt;1.5),'Berechnung-WÜ-Material'!$AW$110,IF('Daten-Materialien'!E106&gt;1.5,'Berechnung-WÜ-Material'!$AX$110,"FEHLER"))))))</f>
        <v>5.4090960472347849</v>
      </c>
      <c r="S106" s="241">
        <f>IF(K106&lt;15,'Berechnung-WÜ-Material'!$AZ$110,IF(AND(K106&gt;=15,K106&lt;30),'Berechnung-WÜ-Material'!$BA$110,IF(AND('Daten-Materialien'!K106&gt;=30,'Daten-Materialien'!K106&lt;45),'Berechnung-WÜ-Material'!$BB$110,IF(AND(K106&gt;=45,K106&lt;60),'Berechnung-WÜ-Material'!$BC$110,IF(AND('Daten-Materialien'!K106&gt;=60,'Daten-Materialien'!K106&lt;75),'Berechnung-WÜ-Material'!$BD$110,IF('Daten-Materialien'!K106&gt;75,'Berechnung-WÜ-Material'!$BE$110,"FEHLER"))))))</f>
        <v>4.7129870533027205</v>
      </c>
      <c r="T106" s="241">
        <f>SUM(Q106:S106)+(L106*3*'Berechnung-WÜ-Material'!$G$22)</f>
        <v>13.1565298748865</v>
      </c>
      <c r="U106" s="241">
        <f t="shared" si="12"/>
        <v>37.61677731829279</v>
      </c>
      <c r="V106" s="241">
        <f>100/'Berechnung-WÜ-Material'!$BF$112*'Daten-Materialien'!T106</f>
        <v>64.220345135712108</v>
      </c>
      <c r="W106" s="241">
        <f t="shared" si="19"/>
        <v>157</v>
      </c>
      <c r="X106" s="241" t="str">
        <f t="shared" si="16"/>
        <v/>
      </c>
      <c r="Y106" s="241">
        <f t="shared" si="17"/>
        <v>1</v>
      </c>
      <c r="Z106" s="241" t="str">
        <f t="shared" si="18"/>
        <v/>
      </c>
      <c r="AB106" s="241" t="s">
        <v>735</v>
      </c>
    </row>
    <row r="107" spans="1:28" ht="51.75" x14ac:dyDescent="0.25">
      <c r="A107" s="241" t="str">
        <f t="shared" si="14"/>
        <v/>
      </c>
      <c r="B107" s="241" t="s">
        <v>686</v>
      </c>
      <c r="D107" s="337">
        <v>0.04</v>
      </c>
      <c r="E107" s="241">
        <f t="shared" si="15"/>
        <v>0.04</v>
      </c>
      <c r="F107" s="339"/>
      <c r="G107" s="339">
        <v>156</v>
      </c>
      <c r="H107" s="241">
        <f t="shared" si="10"/>
        <v>156</v>
      </c>
      <c r="J107" s="241">
        <v>5</v>
      </c>
      <c r="K107" s="241">
        <f t="shared" si="11"/>
        <v>5</v>
      </c>
      <c r="L107" s="241">
        <v>0.5</v>
      </c>
      <c r="M107" s="241">
        <f>(0.1-2.5)/2.5*100</f>
        <v>-96</v>
      </c>
      <c r="N107" s="130" t="s">
        <v>680</v>
      </c>
      <c r="O107" s="130"/>
      <c r="P107" s="130"/>
      <c r="Q107" s="241">
        <f>IF(H107&lt;60,'Berechnung-WÜ-Material'!$AL$110,IF(AND(H107&gt;=60,H107&lt;80),'Berechnung-WÜ-Material'!$AM$110,IF(AND('Daten-Materialien'!H107&gt;=80,'Daten-Materialien'!H107&lt;100),'Berechnung-WÜ-Material'!$AN$110,IF(AND(H107&gt;=100,H107&lt;120),'Berechnung-WÜ-Material'!$AO$110,IF(AND('Daten-Materialien'!H107&gt;=120,'Daten-Materialien'!H107&lt;140),'Berechnung-WÜ-Material'!$AP$110,IF('Daten-Materialien'!H107&gt;140,'Berechnung-WÜ-Material'!$AQ$110,"FEHLER"))))))</f>
        <v>5.3131194485671944</v>
      </c>
      <c r="R107" s="241">
        <f>IF(E107&lt;0.1,'Berechnung-WÜ-Material'!$AS$110,IF(AND(E107&gt;=0.1,E107&lt;0.3),'Berechnung-WÜ-Material'!$AT$110,IF(AND('Daten-Materialien'!E107&gt;=0.3,'Daten-Materialien'!E107&lt;0.6),'Berechnung-WÜ-Material'!$AU$110,IF(AND(E107&gt;=0.6,E107&lt;1),'Berechnung-WÜ-Material'!$AV$110,IF(AND('Daten-Materialien'!E107&gt;=1,'Daten-Materialien'!E107&lt;1.5),'Berechnung-WÜ-Material'!$AW$110,IF('Daten-Materialien'!E107&gt;1.5,'Berechnung-WÜ-Material'!$AX$110,"FEHLER"))))))</f>
        <v>5.4090960472347849</v>
      </c>
      <c r="S107" s="241">
        <f>IF(K107&lt;15,'Berechnung-WÜ-Material'!$AZ$110,IF(AND(K107&gt;=15,K107&lt;30),'Berechnung-WÜ-Material'!$BA$110,IF(AND('Daten-Materialien'!K107&gt;=30,'Daten-Materialien'!K107&lt;45),'Berechnung-WÜ-Material'!$BB$110,IF(AND(K107&gt;=45,K107&lt;60),'Berechnung-WÜ-Material'!$BC$110,IF(AND('Daten-Materialien'!K107&gt;=60,'Daten-Materialien'!K107&lt;75),'Berechnung-WÜ-Material'!$BD$110,IF('Daten-Materialien'!K107&gt;75,'Berechnung-WÜ-Material'!$BE$110,"FEHLER"))))))</f>
        <v>3.4607748084549512</v>
      </c>
      <c r="T107" s="241">
        <f>SUM(Q107:S107)+(L107*3*'Berechnung-WÜ-Material'!$G$22)</f>
        <v>15.011100098088779</v>
      </c>
      <c r="U107" s="241">
        <f t="shared" si="12"/>
        <v>44.485555923295173</v>
      </c>
      <c r="V107" s="241">
        <f>100/'Berechnung-WÜ-Material'!$BF$112*'Daten-Materialien'!T107</f>
        <v>73.272970785869916</v>
      </c>
      <c r="W107" s="241">
        <f t="shared" si="19"/>
        <v>94</v>
      </c>
      <c r="X107" s="241" t="str">
        <f t="shared" si="16"/>
        <v/>
      </c>
      <c r="Y107" s="241">
        <f t="shared" si="17"/>
        <v>1</v>
      </c>
      <c r="Z107" s="241" t="str">
        <f t="shared" si="18"/>
        <v/>
      </c>
      <c r="AB107" s="241" t="s">
        <v>736</v>
      </c>
    </row>
    <row r="108" spans="1:28" ht="39" x14ac:dyDescent="0.25">
      <c r="A108" s="241" t="str">
        <f t="shared" si="14"/>
        <v/>
      </c>
      <c r="B108" s="241" t="s">
        <v>687</v>
      </c>
      <c r="D108" s="337">
        <v>0.04</v>
      </c>
      <c r="E108" s="241">
        <f t="shared" si="15"/>
        <v>0.04</v>
      </c>
      <c r="F108" s="339"/>
      <c r="G108" s="339">
        <v>65</v>
      </c>
      <c r="H108" s="241">
        <f t="shared" si="10"/>
        <v>65</v>
      </c>
      <c r="J108" s="241">
        <v>44</v>
      </c>
      <c r="K108" s="241">
        <f t="shared" si="11"/>
        <v>44</v>
      </c>
      <c r="L108" s="241">
        <v>0</v>
      </c>
      <c r="M108" s="241">
        <v>24.9</v>
      </c>
      <c r="N108" s="130" t="s">
        <v>627</v>
      </c>
      <c r="O108" s="130"/>
      <c r="P108" s="130"/>
      <c r="Q108" s="241">
        <f>IF(H108&lt;60,'Berechnung-WÜ-Material'!$AL$110,IF(AND(H108&gt;=60,H108&lt;80),'Berechnung-WÜ-Material'!$AM$110,IF(AND('Daten-Materialien'!H108&gt;=80,'Daten-Materialien'!H108&lt;100),'Berechnung-WÜ-Material'!$AN$110,IF(AND(H108&gt;=100,H108&lt;120),'Berechnung-WÜ-Material'!$AO$110,IF(AND('Daten-Materialien'!H108&gt;=120,'Daten-Materialien'!H108&lt;140),'Berechnung-WÜ-Material'!$AP$110,IF('Daten-Materialien'!H108&gt;140,'Berechnung-WÜ-Material'!$AQ$110,"FEHLER"))))))</f>
        <v>1.4830749679207913</v>
      </c>
      <c r="R108" s="241">
        <f>IF(E108&lt;0.1,'Berechnung-WÜ-Material'!$AS$110,IF(AND(E108&gt;=0.1,E108&lt;0.3),'Berechnung-WÜ-Material'!$AT$110,IF(AND('Daten-Materialien'!E108&gt;=0.3,'Daten-Materialien'!E108&lt;0.6),'Berechnung-WÜ-Material'!$AU$110,IF(AND(E108&gt;=0.6,E108&lt;1),'Berechnung-WÜ-Material'!$AV$110,IF(AND('Daten-Materialien'!E108&gt;=1,'Daten-Materialien'!E108&lt;1.5),'Berechnung-WÜ-Material'!$AW$110,IF('Daten-Materialien'!E108&gt;1.5,'Berechnung-WÜ-Material'!$AX$110,"FEHLER"))))))</f>
        <v>5.4090960472347849</v>
      </c>
      <c r="S108" s="241">
        <f>IF(K108&lt;15,'Berechnung-WÜ-Material'!$AZ$110,IF(AND(K108&gt;=15,K108&lt;30),'Berechnung-WÜ-Material'!$BA$110,IF(AND('Daten-Materialien'!K108&gt;=30,'Daten-Materialien'!K108&lt;45),'Berechnung-WÜ-Material'!$BB$110,IF(AND(K108&gt;=45,K108&lt;60),'Berechnung-WÜ-Material'!$BC$110,IF(AND('Daten-Materialien'!K108&gt;=60,'Daten-Materialien'!K108&lt;75),'Berechnung-WÜ-Material'!$BD$110,IF('Daten-Materialien'!K108&gt;75,'Berechnung-WÜ-Material'!$BE$110,"FEHLER"))))))</f>
        <v>5.9436257603083487</v>
      </c>
      <c r="T108" s="241">
        <f>SUM(Q108:S108)+(L108*3*'Berechnung-WÜ-Material'!$G$22)</f>
        <v>12.835796775463924</v>
      </c>
      <c r="U108" s="241">
        <f t="shared" si="12"/>
        <v>36.428876949965996</v>
      </c>
      <c r="V108" s="241">
        <f>100/'Berechnung-WÜ-Material'!$BF$112*'Daten-Materialien'!T108</f>
        <v>62.65476587300077</v>
      </c>
      <c r="W108" s="241">
        <f t="shared" si="19"/>
        <v>169</v>
      </c>
      <c r="X108" s="241" t="str">
        <f t="shared" si="16"/>
        <v/>
      </c>
      <c r="Y108" s="241">
        <f t="shared" si="17"/>
        <v>1</v>
      </c>
      <c r="Z108" s="241" t="str">
        <f t="shared" si="18"/>
        <v/>
      </c>
      <c r="AB108" s="241" t="s">
        <v>667</v>
      </c>
    </row>
    <row r="109" spans="1:28" ht="51.75" x14ac:dyDescent="0.25">
      <c r="A109" s="241" t="str">
        <f t="shared" si="14"/>
        <v/>
      </c>
      <c r="B109" s="241" t="s">
        <v>903</v>
      </c>
      <c r="D109" s="337">
        <v>0.05</v>
      </c>
      <c r="E109" s="241">
        <f t="shared" si="15"/>
        <v>0.05</v>
      </c>
      <c r="G109" s="339">
        <v>15</v>
      </c>
      <c r="H109" s="241">
        <f t="shared" si="10"/>
        <v>15</v>
      </c>
      <c r="J109" s="241">
        <v>56</v>
      </c>
      <c r="K109" s="241">
        <f t="shared" si="11"/>
        <v>56</v>
      </c>
      <c r="L109" s="241">
        <v>0</v>
      </c>
      <c r="M109" s="241">
        <v>30</v>
      </c>
      <c r="N109" s="130" t="s">
        <v>629</v>
      </c>
      <c r="O109" s="130"/>
      <c r="P109" s="130"/>
      <c r="Q109" s="241">
        <f>IF(H109&lt;60,'Berechnung-WÜ-Material'!$AL$110,IF(AND(H109&gt;=60,H109&lt;80),'Berechnung-WÜ-Material'!$AM$110,IF(AND('Daten-Materialien'!H109&gt;=80,'Daten-Materialien'!H109&lt;100),'Berechnung-WÜ-Material'!$AN$110,IF(AND(H109&gt;=100,H109&lt;120),'Berechnung-WÜ-Material'!$AO$110,IF(AND('Daten-Materialien'!H109&gt;=120,'Daten-Materialien'!H109&lt;140),'Berechnung-WÜ-Material'!$AP$110,IF('Daten-Materialien'!H109&gt;140,'Berechnung-WÜ-Material'!$AQ$110,"FEHLER"))))))</f>
        <v>2.2063369805171464</v>
      </c>
      <c r="R109" s="241">
        <f>IF(E109&lt;0.1,'Berechnung-WÜ-Material'!$AS$110,IF(AND(E109&gt;=0.1,E109&lt;0.3),'Berechnung-WÜ-Material'!$AT$110,IF(AND('Daten-Materialien'!E109&gt;=0.3,'Daten-Materialien'!E109&lt;0.6),'Berechnung-WÜ-Material'!$AU$110,IF(AND(E109&gt;=0.6,E109&lt;1),'Berechnung-WÜ-Material'!$AV$110,IF(AND('Daten-Materialien'!E109&gt;=1,'Daten-Materialien'!E109&lt;1.5),'Berechnung-WÜ-Material'!$AW$110,IF('Daten-Materialien'!E109&gt;1.5,'Berechnung-WÜ-Material'!$AX$110,"FEHLER"))))))</f>
        <v>5.4090960472347849</v>
      </c>
      <c r="S109" s="241">
        <f>IF(K109&lt;15,'Berechnung-WÜ-Material'!$AZ$110,IF(AND(K109&gt;=15,K109&lt;30),'Berechnung-WÜ-Material'!$BA$110,IF(AND('Daten-Materialien'!K109&gt;=30,'Daten-Materialien'!K109&lt;45),'Berechnung-WÜ-Material'!$BB$110,IF(AND(K109&gt;=45,K109&lt;60),'Berechnung-WÜ-Material'!$BC$110,IF(AND('Daten-Materialien'!K109&gt;=60,'Daten-Materialien'!K109&lt;75),'Berechnung-WÜ-Material'!$BD$110,IF('Daten-Materialien'!K109&gt;75,'Berechnung-WÜ-Material'!$BE$110,"FEHLER"))))))</f>
        <v>2.6681383364247617</v>
      </c>
      <c r="T109" s="241">
        <f>SUM(Q109:S109)+(L109*3*'Berechnung-WÜ-Material'!$G$22)</f>
        <v>10.283571364176694</v>
      </c>
      <c r="U109" s="241">
        <f t="shared" si="12"/>
        <v>26.976190240738553</v>
      </c>
      <c r="V109" s="241">
        <f>100/'Berechnung-WÜ-Material'!$BF$112*'Daten-Materialien'!T109</f>
        <v>50.196709049836016</v>
      </c>
      <c r="W109" s="241">
        <f t="shared" si="19"/>
        <v>211</v>
      </c>
      <c r="X109" s="241" t="str">
        <f t="shared" si="16"/>
        <v/>
      </c>
      <c r="Y109" s="241">
        <f t="shared" si="17"/>
        <v>1</v>
      </c>
      <c r="Z109" s="241" t="str">
        <f t="shared" si="18"/>
        <v/>
      </c>
      <c r="AB109" s="241" t="s">
        <v>868</v>
      </c>
    </row>
    <row r="110" spans="1:28" ht="51.75" x14ac:dyDescent="0.25">
      <c r="A110" s="241" t="str">
        <f t="shared" si="14"/>
        <v/>
      </c>
      <c r="B110" s="241" t="s">
        <v>904</v>
      </c>
      <c r="D110" s="337">
        <v>0.05</v>
      </c>
      <c r="E110" s="241">
        <f t="shared" si="15"/>
        <v>0.05</v>
      </c>
      <c r="G110" s="339">
        <v>37</v>
      </c>
      <c r="H110" s="241">
        <f t="shared" si="10"/>
        <v>37</v>
      </c>
      <c r="J110" s="241">
        <v>52</v>
      </c>
      <c r="K110" s="241">
        <f t="shared" si="11"/>
        <v>52</v>
      </c>
      <c r="L110" s="241">
        <v>0</v>
      </c>
      <c r="M110" s="241">
        <v>18</v>
      </c>
      <c r="N110" s="130" t="s">
        <v>629</v>
      </c>
      <c r="O110" s="130"/>
      <c r="P110" s="130"/>
      <c r="Q110" s="241">
        <f>IF(H110&lt;60,'Berechnung-WÜ-Material'!$AL$110,IF(AND(H110&gt;=60,H110&lt;80),'Berechnung-WÜ-Material'!$AM$110,IF(AND('Daten-Materialien'!H110&gt;=80,'Daten-Materialien'!H110&lt;100),'Berechnung-WÜ-Material'!$AN$110,IF(AND(H110&gt;=100,H110&lt;120),'Berechnung-WÜ-Material'!$AO$110,IF(AND('Daten-Materialien'!H110&gt;=120,'Daten-Materialien'!H110&lt;140),'Berechnung-WÜ-Material'!$AP$110,IF('Daten-Materialien'!H110&gt;140,'Berechnung-WÜ-Material'!$AQ$110,"FEHLER"))))))</f>
        <v>2.2063369805171464</v>
      </c>
      <c r="R110" s="241">
        <f>IF(E110&lt;0.1,'Berechnung-WÜ-Material'!$AS$110,IF(AND(E110&gt;=0.1,E110&lt;0.3),'Berechnung-WÜ-Material'!$AT$110,IF(AND('Daten-Materialien'!E110&gt;=0.3,'Daten-Materialien'!E110&lt;0.6),'Berechnung-WÜ-Material'!$AU$110,IF(AND(E110&gt;=0.6,E110&lt;1),'Berechnung-WÜ-Material'!$AV$110,IF(AND('Daten-Materialien'!E110&gt;=1,'Daten-Materialien'!E110&lt;1.5),'Berechnung-WÜ-Material'!$AW$110,IF('Daten-Materialien'!E110&gt;1.5,'Berechnung-WÜ-Material'!$AX$110,"FEHLER"))))))</f>
        <v>5.4090960472347849</v>
      </c>
      <c r="S110" s="241">
        <f>IF(K110&lt;15,'Berechnung-WÜ-Material'!$AZ$110,IF(AND(K110&gt;=15,K110&lt;30),'Berechnung-WÜ-Material'!$BA$110,IF(AND('Daten-Materialien'!K110&gt;=30,'Daten-Materialien'!K110&lt;45),'Berechnung-WÜ-Material'!$BB$110,IF(AND(K110&gt;=45,K110&lt;60),'Berechnung-WÜ-Material'!$BC$110,IF(AND('Daten-Materialien'!K110&gt;=60,'Daten-Materialien'!K110&lt;75),'Berechnung-WÜ-Material'!$BD$110,IF('Daten-Materialien'!K110&gt;75,'Berechnung-WÜ-Material'!$BE$110,"FEHLER"))))))</f>
        <v>2.6681383364247617</v>
      </c>
      <c r="T110" s="241">
        <f>SUM(Q110:S110)+(L110*3*'Berechnung-WÜ-Material'!$G$22)</f>
        <v>10.283571364176694</v>
      </c>
      <c r="U110" s="241">
        <f t="shared" si="12"/>
        <v>26.976190240738553</v>
      </c>
      <c r="V110" s="241">
        <f>100/'Berechnung-WÜ-Material'!$BF$112*'Daten-Materialien'!T110</f>
        <v>50.196709049836016</v>
      </c>
      <c r="W110" s="241">
        <f t="shared" si="19"/>
        <v>211</v>
      </c>
      <c r="X110" s="241" t="str">
        <f t="shared" si="16"/>
        <v/>
      </c>
      <c r="Y110" s="241">
        <f t="shared" si="17"/>
        <v>1</v>
      </c>
      <c r="Z110" s="241" t="str">
        <f t="shared" si="18"/>
        <v/>
      </c>
      <c r="AB110" s="241" t="s">
        <v>823</v>
      </c>
    </row>
    <row r="111" spans="1:28" ht="26.25" x14ac:dyDescent="0.25">
      <c r="A111" s="241" t="str">
        <f t="shared" si="14"/>
        <v/>
      </c>
      <c r="B111" s="241" t="s">
        <v>688</v>
      </c>
      <c r="D111" s="241">
        <v>0.01</v>
      </c>
      <c r="E111" s="241">
        <f t="shared" si="15"/>
        <v>0.01</v>
      </c>
      <c r="G111" s="337">
        <v>44</v>
      </c>
      <c r="H111" s="241">
        <f t="shared" si="10"/>
        <v>44</v>
      </c>
      <c r="J111" s="337">
        <v>50</v>
      </c>
      <c r="K111" s="241">
        <f t="shared" si="11"/>
        <v>50</v>
      </c>
      <c r="L111" s="241">
        <v>0</v>
      </c>
      <c r="M111" s="241">
        <f>-(1.43-1.3)/1.43*100</f>
        <v>-9.0909090909090846</v>
      </c>
      <c r="N111" s="130" t="s">
        <v>631</v>
      </c>
      <c r="O111" s="130"/>
      <c r="P111" s="130"/>
      <c r="Q111" s="241">
        <f>IF(H111&lt;60,'Berechnung-WÜ-Material'!$AL$110,IF(AND(H111&gt;=60,H111&lt;80),'Berechnung-WÜ-Material'!$AM$110,IF(AND('Daten-Materialien'!H111&gt;=80,'Daten-Materialien'!H111&lt;100),'Berechnung-WÜ-Material'!$AN$110,IF(AND(H111&gt;=100,H111&lt;120),'Berechnung-WÜ-Material'!$AO$110,IF(AND('Daten-Materialien'!H111&gt;=120,'Daten-Materialien'!H111&lt;140),'Berechnung-WÜ-Material'!$AP$110,IF('Daten-Materialien'!H111&gt;140,'Berechnung-WÜ-Material'!$AQ$110,"FEHLER"))))))</f>
        <v>2.2063369805171464</v>
      </c>
      <c r="R111" s="241">
        <f>IF(E111&lt;0.1,'Berechnung-WÜ-Material'!$AS$110,IF(AND(E111&gt;=0.1,E111&lt;0.3),'Berechnung-WÜ-Material'!$AT$110,IF(AND('Daten-Materialien'!E111&gt;=0.3,'Daten-Materialien'!E111&lt;0.6),'Berechnung-WÜ-Material'!$AU$110,IF(AND(E111&gt;=0.6,E111&lt;1),'Berechnung-WÜ-Material'!$AV$110,IF(AND('Daten-Materialien'!E111&gt;=1,'Daten-Materialien'!E111&lt;1.5),'Berechnung-WÜ-Material'!$AW$110,IF('Daten-Materialien'!E111&gt;1.5,'Berechnung-WÜ-Material'!$AX$110,"FEHLER"))))))</f>
        <v>5.4090960472347849</v>
      </c>
      <c r="S111" s="241">
        <f>IF(K111&lt;15,'Berechnung-WÜ-Material'!$AZ$110,IF(AND(K111&gt;=15,K111&lt;30),'Berechnung-WÜ-Material'!$BA$110,IF(AND('Daten-Materialien'!K111&gt;=30,'Daten-Materialien'!K111&lt;45),'Berechnung-WÜ-Material'!$BB$110,IF(AND(K111&gt;=45,K111&lt;60),'Berechnung-WÜ-Material'!$BC$110,IF(AND('Daten-Materialien'!K111&gt;=60,'Daten-Materialien'!K111&lt;75),'Berechnung-WÜ-Material'!$BD$110,IF('Daten-Materialien'!K111&gt;75,'Berechnung-WÜ-Material'!$BE$110,"FEHLER"))))))</f>
        <v>2.6681383364247617</v>
      </c>
      <c r="T111" s="241">
        <f>SUM(Q111:S111)+(L111*3*'Berechnung-WÜ-Material'!$G$22)</f>
        <v>10.283571364176694</v>
      </c>
      <c r="U111" s="241">
        <f t="shared" si="12"/>
        <v>26.976190240738553</v>
      </c>
      <c r="V111" s="241">
        <f>100/'Berechnung-WÜ-Material'!$BF$112*'Daten-Materialien'!T111</f>
        <v>50.196709049836016</v>
      </c>
      <c r="W111" s="241">
        <f t="shared" si="19"/>
        <v>211</v>
      </c>
      <c r="X111" s="241" t="str">
        <f t="shared" si="16"/>
        <v/>
      </c>
      <c r="Y111" s="241">
        <f t="shared" si="17"/>
        <v>1</v>
      </c>
      <c r="Z111" s="241" t="str">
        <f t="shared" si="18"/>
        <v/>
      </c>
      <c r="AB111" s="241" t="s">
        <v>824</v>
      </c>
    </row>
    <row r="112" spans="1:28" ht="51.75" x14ac:dyDescent="0.25">
      <c r="A112" s="241" t="str">
        <f t="shared" si="14"/>
        <v/>
      </c>
      <c r="B112" s="241" t="s">
        <v>689</v>
      </c>
      <c r="D112" s="337">
        <v>0.05</v>
      </c>
      <c r="E112" s="241">
        <f t="shared" si="15"/>
        <v>0.05</v>
      </c>
      <c r="G112" s="337">
        <v>44</v>
      </c>
      <c r="H112" s="241">
        <f t="shared" si="10"/>
        <v>44</v>
      </c>
      <c r="J112" s="337">
        <v>50</v>
      </c>
      <c r="K112" s="241">
        <f t="shared" si="11"/>
        <v>50</v>
      </c>
      <c r="L112" s="241">
        <v>0</v>
      </c>
      <c r="M112" s="241">
        <f>96.2-100</f>
        <v>-3.7999999999999972</v>
      </c>
      <c r="N112" s="130" t="s">
        <v>635</v>
      </c>
      <c r="O112" s="130"/>
      <c r="P112" s="130"/>
      <c r="Q112" s="241">
        <f>IF(H112&lt;60,'Berechnung-WÜ-Material'!$AL$110,IF(AND(H112&gt;=60,H112&lt;80),'Berechnung-WÜ-Material'!$AM$110,IF(AND('Daten-Materialien'!H112&gt;=80,'Daten-Materialien'!H112&lt;100),'Berechnung-WÜ-Material'!$AN$110,IF(AND(H112&gt;=100,H112&lt;120),'Berechnung-WÜ-Material'!$AO$110,IF(AND('Daten-Materialien'!H112&gt;=120,'Daten-Materialien'!H112&lt;140),'Berechnung-WÜ-Material'!$AP$110,IF('Daten-Materialien'!H112&gt;140,'Berechnung-WÜ-Material'!$AQ$110,"FEHLER"))))))</f>
        <v>2.2063369805171464</v>
      </c>
      <c r="R112" s="241">
        <f>IF(E112&lt;0.1,'Berechnung-WÜ-Material'!$AS$110,IF(AND(E112&gt;=0.1,E112&lt;0.3),'Berechnung-WÜ-Material'!$AT$110,IF(AND('Daten-Materialien'!E112&gt;=0.3,'Daten-Materialien'!E112&lt;0.6),'Berechnung-WÜ-Material'!$AU$110,IF(AND(E112&gt;=0.6,E112&lt;1),'Berechnung-WÜ-Material'!$AV$110,IF(AND('Daten-Materialien'!E112&gt;=1,'Daten-Materialien'!E112&lt;1.5),'Berechnung-WÜ-Material'!$AW$110,IF('Daten-Materialien'!E112&gt;1.5,'Berechnung-WÜ-Material'!$AX$110,"FEHLER"))))))</f>
        <v>5.4090960472347849</v>
      </c>
      <c r="S112" s="241">
        <f>IF(K112&lt;15,'Berechnung-WÜ-Material'!$AZ$110,IF(AND(K112&gt;=15,K112&lt;30),'Berechnung-WÜ-Material'!$BA$110,IF(AND('Daten-Materialien'!K112&gt;=30,'Daten-Materialien'!K112&lt;45),'Berechnung-WÜ-Material'!$BB$110,IF(AND(K112&gt;=45,K112&lt;60),'Berechnung-WÜ-Material'!$BC$110,IF(AND('Daten-Materialien'!K112&gt;=60,'Daten-Materialien'!K112&lt;75),'Berechnung-WÜ-Material'!$BD$110,IF('Daten-Materialien'!K112&gt;75,'Berechnung-WÜ-Material'!$BE$110,"FEHLER"))))))</f>
        <v>2.6681383364247617</v>
      </c>
      <c r="T112" s="241">
        <f>SUM(Q112:S112)+(L112*3*'Berechnung-WÜ-Material'!$G$22)</f>
        <v>10.283571364176694</v>
      </c>
      <c r="U112" s="241">
        <f t="shared" si="12"/>
        <v>26.976190240738553</v>
      </c>
      <c r="V112" s="241">
        <f>100/'Berechnung-WÜ-Material'!$BF$112*'Daten-Materialien'!T112</f>
        <v>50.196709049836016</v>
      </c>
      <c r="W112" s="241">
        <f t="shared" si="19"/>
        <v>211</v>
      </c>
      <c r="X112" s="241" t="str">
        <f t="shared" si="16"/>
        <v/>
      </c>
      <c r="Y112" s="241">
        <f t="shared" si="17"/>
        <v>1</v>
      </c>
      <c r="Z112" s="241" t="str">
        <f t="shared" si="18"/>
        <v/>
      </c>
      <c r="AB112" s="241" t="s">
        <v>921</v>
      </c>
    </row>
    <row r="113" spans="1:35" ht="51.75" x14ac:dyDescent="0.25">
      <c r="A113" s="241" t="str">
        <f t="shared" si="14"/>
        <v/>
      </c>
      <c r="B113" s="241" t="s">
        <v>690</v>
      </c>
      <c r="D113" s="337">
        <v>0.05</v>
      </c>
      <c r="E113" s="241">
        <f t="shared" si="15"/>
        <v>0.05</v>
      </c>
      <c r="G113" s="337">
        <v>44</v>
      </c>
      <c r="H113" s="241">
        <f t="shared" si="10"/>
        <v>44</v>
      </c>
      <c r="J113" s="337">
        <v>50</v>
      </c>
      <c r="K113" s="241">
        <f t="shared" si="11"/>
        <v>50</v>
      </c>
      <c r="L113" s="241">
        <v>0</v>
      </c>
      <c r="M113" s="241">
        <f>81.9-100</f>
        <v>-18.099999999999994</v>
      </c>
      <c r="N113" s="130" t="s">
        <v>635</v>
      </c>
      <c r="O113" s="130"/>
      <c r="P113" s="130"/>
      <c r="Q113" s="241">
        <f>IF(H113&lt;60,'Berechnung-WÜ-Material'!$AL$110,IF(AND(H113&gt;=60,H113&lt;80),'Berechnung-WÜ-Material'!$AM$110,IF(AND('Daten-Materialien'!H113&gt;=80,'Daten-Materialien'!H113&lt;100),'Berechnung-WÜ-Material'!$AN$110,IF(AND(H113&gt;=100,H113&lt;120),'Berechnung-WÜ-Material'!$AO$110,IF(AND('Daten-Materialien'!H113&gt;=120,'Daten-Materialien'!H113&lt;140),'Berechnung-WÜ-Material'!$AP$110,IF('Daten-Materialien'!H113&gt;140,'Berechnung-WÜ-Material'!$AQ$110,"FEHLER"))))))</f>
        <v>2.2063369805171464</v>
      </c>
      <c r="R113" s="241">
        <f>IF(E113&lt;0.1,'Berechnung-WÜ-Material'!$AS$110,IF(AND(E113&gt;=0.1,E113&lt;0.3),'Berechnung-WÜ-Material'!$AT$110,IF(AND('Daten-Materialien'!E113&gt;=0.3,'Daten-Materialien'!E113&lt;0.6),'Berechnung-WÜ-Material'!$AU$110,IF(AND(E113&gt;=0.6,E113&lt;1),'Berechnung-WÜ-Material'!$AV$110,IF(AND('Daten-Materialien'!E113&gt;=1,'Daten-Materialien'!E113&lt;1.5),'Berechnung-WÜ-Material'!$AW$110,IF('Daten-Materialien'!E113&gt;1.5,'Berechnung-WÜ-Material'!$AX$110,"FEHLER"))))))</f>
        <v>5.4090960472347849</v>
      </c>
      <c r="S113" s="241">
        <f>IF(K113&lt;15,'Berechnung-WÜ-Material'!$AZ$110,IF(AND(K113&gt;=15,K113&lt;30),'Berechnung-WÜ-Material'!$BA$110,IF(AND('Daten-Materialien'!K113&gt;=30,'Daten-Materialien'!K113&lt;45),'Berechnung-WÜ-Material'!$BB$110,IF(AND(K113&gt;=45,K113&lt;60),'Berechnung-WÜ-Material'!$BC$110,IF(AND('Daten-Materialien'!K113&gt;=60,'Daten-Materialien'!K113&lt;75),'Berechnung-WÜ-Material'!$BD$110,IF('Daten-Materialien'!K113&gt;75,'Berechnung-WÜ-Material'!$BE$110,"FEHLER"))))))</f>
        <v>2.6681383364247617</v>
      </c>
      <c r="T113" s="241">
        <f>SUM(Q113:S113)+(L113*3*'Berechnung-WÜ-Material'!$G$22)</f>
        <v>10.283571364176694</v>
      </c>
      <c r="U113" s="241">
        <f t="shared" si="12"/>
        <v>26.976190240738553</v>
      </c>
      <c r="V113" s="241">
        <f>100/'Berechnung-WÜ-Material'!$BF$112*'Daten-Materialien'!T113</f>
        <v>50.196709049836016</v>
      </c>
      <c r="W113" s="241">
        <f t="shared" si="19"/>
        <v>211</v>
      </c>
      <c r="X113" s="241" t="str">
        <f t="shared" si="16"/>
        <v/>
      </c>
      <c r="Y113" s="241">
        <f t="shared" si="17"/>
        <v>1</v>
      </c>
      <c r="Z113" s="241" t="str">
        <f t="shared" si="18"/>
        <v/>
      </c>
      <c r="AB113" s="241" t="s">
        <v>744</v>
      </c>
    </row>
    <row r="114" spans="1:35" ht="51.75" x14ac:dyDescent="0.25">
      <c r="A114" s="241" t="str">
        <f t="shared" si="14"/>
        <v/>
      </c>
      <c r="B114" s="241" t="s">
        <v>691</v>
      </c>
      <c r="D114" s="241">
        <v>3.5000000000000003E-2</v>
      </c>
      <c r="E114" s="241">
        <f t="shared" si="15"/>
        <v>3.5000000000000003E-2</v>
      </c>
      <c r="G114" s="337">
        <v>44</v>
      </c>
      <c r="H114" s="241">
        <f t="shared" si="10"/>
        <v>44</v>
      </c>
      <c r="J114" s="337">
        <v>50</v>
      </c>
      <c r="K114" s="241">
        <f t="shared" si="11"/>
        <v>50</v>
      </c>
      <c r="L114" s="241">
        <v>0</v>
      </c>
      <c r="M114" s="241">
        <v>42</v>
      </c>
      <c r="N114" s="130" t="s">
        <v>657</v>
      </c>
      <c r="O114" s="130"/>
      <c r="P114" s="130"/>
      <c r="Q114" s="241">
        <f>IF(H114&lt;60,'Berechnung-WÜ-Material'!$AL$110,IF(AND(H114&gt;=60,H114&lt;80),'Berechnung-WÜ-Material'!$AM$110,IF(AND('Daten-Materialien'!H114&gt;=80,'Daten-Materialien'!H114&lt;100),'Berechnung-WÜ-Material'!$AN$110,IF(AND(H114&gt;=100,H114&lt;120),'Berechnung-WÜ-Material'!$AO$110,IF(AND('Daten-Materialien'!H114&gt;=120,'Daten-Materialien'!H114&lt;140),'Berechnung-WÜ-Material'!$AP$110,IF('Daten-Materialien'!H114&gt;140,'Berechnung-WÜ-Material'!$AQ$110,"FEHLER"))))))</f>
        <v>2.2063369805171464</v>
      </c>
      <c r="R114" s="241">
        <f>IF(E114&lt;0.1,'Berechnung-WÜ-Material'!$AS$110,IF(AND(E114&gt;=0.1,E114&lt;0.3),'Berechnung-WÜ-Material'!$AT$110,IF(AND('Daten-Materialien'!E114&gt;=0.3,'Daten-Materialien'!E114&lt;0.6),'Berechnung-WÜ-Material'!$AU$110,IF(AND(E114&gt;=0.6,E114&lt;1),'Berechnung-WÜ-Material'!$AV$110,IF(AND('Daten-Materialien'!E114&gt;=1,'Daten-Materialien'!E114&lt;1.5),'Berechnung-WÜ-Material'!$AW$110,IF('Daten-Materialien'!E114&gt;1.5,'Berechnung-WÜ-Material'!$AX$110,"FEHLER"))))))</f>
        <v>5.4090960472347849</v>
      </c>
      <c r="S114" s="241">
        <f>IF(K114&lt;15,'Berechnung-WÜ-Material'!$AZ$110,IF(AND(K114&gt;=15,K114&lt;30),'Berechnung-WÜ-Material'!$BA$110,IF(AND('Daten-Materialien'!K114&gt;=30,'Daten-Materialien'!K114&lt;45),'Berechnung-WÜ-Material'!$BB$110,IF(AND(K114&gt;=45,K114&lt;60),'Berechnung-WÜ-Material'!$BC$110,IF(AND('Daten-Materialien'!K114&gt;=60,'Daten-Materialien'!K114&lt;75),'Berechnung-WÜ-Material'!$BD$110,IF('Daten-Materialien'!K114&gt;75,'Berechnung-WÜ-Material'!$BE$110,"FEHLER"))))))</f>
        <v>2.6681383364247617</v>
      </c>
      <c r="T114" s="241">
        <f>SUM(Q114:S114)+(L114*3*'Berechnung-WÜ-Material'!$G$22)</f>
        <v>10.283571364176694</v>
      </c>
      <c r="U114" s="241">
        <f t="shared" si="12"/>
        <v>26.976190240738553</v>
      </c>
      <c r="V114" s="241">
        <f>100/'Berechnung-WÜ-Material'!$BF$112*'Daten-Materialien'!T114</f>
        <v>50.196709049836016</v>
      </c>
      <c r="W114" s="241">
        <f t="shared" si="19"/>
        <v>211</v>
      </c>
      <c r="X114" s="241" t="str">
        <f t="shared" si="16"/>
        <v/>
      </c>
      <c r="Y114" s="241">
        <f t="shared" si="17"/>
        <v>1</v>
      </c>
      <c r="Z114" s="241" t="str">
        <f t="shared" si="18"/>
        <v/>
      </c>
      <c r="AB114" s="241" t="s">
        <v>731</v>
      </c>
      <c r="AI114">
        <f>1013.15/8</f>
        <v>126.64375</v>
      </c>
    </row>
    <row r="115" spans="1:35" ht="26.25" x14ac:dyDescent="0.25">
      <c r="A115" s="241" t="str">
        <f t="shared" si="14"/>
        <v/>
      </c>
      <c r="B115" s="409" t="s">
        <v>692</v>
      </c>
      <c r="D115" s="337">
        <v>0.05</v>
      </c>
      <c r="E115" s="241">
        <f t="shared" si="15"/>
        <v>0.05</v>
      </c>
      <c r="G115" s="337">
        <v>44</v>
      </c>
      <c r="H115" s="241">
        <f t="shared" si="10"/>
        <v>44</v>
      </c>
      <c r="J115" s="337">
        <v>50</v>
      </c>
      <c r="K115" s="241">
        <f t="shared" si="11"/>
        <v>50</v>
      </c>
      <c r="L115" s="241">
        <v>0</v>
      </c>
      <c r="M115" s="241">
        <f>-(1.43-1.48)/1.43*100</f>
        <v>3.4965034965034993</v>
      </c>
      <c r="N115" s="130" t="s">
        <v>631</v>
      </c>
      <c r="O115" s="130"/>
      <c r="P115" s="130"/>
      <c r="Q115" s="241">
        <f>IF(H115&lt;60,'Berechnung-WÜ-Material'!$AL$110,IF(AND(H115&gt;=60,H115&lt;80),'Berechnung-WÜ-Material'!$AM$110,IF(AND('Daten-Materialien'!H115&gt;=80,'Daten-Materialien'!H115&lt;100),'Berechnung-WÜ-Material'!$AN$110,IF(AND(H115&gt;=100,H115&lt;120),'Berechnung-WÜ-Material'!$AO$110,IF(AND('Daten-Materialien'!H115&gt;=120,'Daten-Materialien'!H115&lt;140),'Berechnung-WÜ-Material'!$AP$110,IF('Daten-Materialien'!H115&gt;140,'Berechnung-WÜ-Material'!$AQ$110,"FEHLER"))))))</f>
        <v>2.2063369805171464</v>
      </c>
      <c r="R115" s="241">
        <f>IF(E115&lt;0.1,'Berechnung-WÜ-Material'!$AS$110,IF(AND(E115&gt;=0.1,E115&lt;0.3),'Berechnung-WÜ-Material'!$AT$110,IF(AND('Daten-Materialien'!E115&gt;=0.3,'Daten-Materialien'!E115&lt;0.6),'Berechnung-WÜ-Material'!$AU$110,IF(AND(E115&gt;=0.6,E115&lt;1),'Berechnung-WÜ-Material'!$AV$110,IF(AND('Daten-Materialien'!E115&gt;=1,'Daten-Materialien'!E115&lt;1.5),'Berechnung-WÜ-Material'!$AW$110,IF('Daten-Materialien'!E115&gt;1.5,'Berechnung-WÜ-Material'!$AX$110,"FEHLER"))))))</f>
        <v>5.4090960472347849</v>
      </c>
      <c r="S115" s="241">
        <f>IF(K115&lt;15,'Berechnung-WÜ-Material'!$AZ$110,IF(AND(K115&gt;=15,K115&lt;30),'Berechnung-WÜ-Material'!$BA$110,IF(AND('Daten-Materialien'!K115&gt;=30,'Daten-Materialien'!K115&lt;45),'Berechnung-WÜ-Material'!$BB$110,IF(AND(K115&gt;=45,K115&lt;60),'Berechnung-WÜ-Material'!$BC$110,IF(AND('Daten-Materialien'!K115&gt;=60,'Daten-Materialien'!K115&lt;75),'Berechnung-WÜ-Material'!$BD$110,IF('Daten-Materialien'!K115&gt;75,'Berechnung-WÜ-Material'!$BE$110,"FEHLER"))))))</f>
        <v>2.6681383364247617</v>
      </c>
      <c r="T115" s="241">
        <f>SUM(Q115:S115)+(L115*3*'Berechnung-WÜ-Material'!$G$22)</f>
        <v>10.283571364176694</v>
      </c>
      <c r="U115" s="241">
        <f t="shared" si="12"/>
        <v>26.976190240738553</v>
      </c>
      <c r="V115" s="241">
        <f>100/'Berechnung-WÜ-Material'!$BF$112*'Daten-Materialien'!T115</f>
        <v>50.196709049836016</v>
      </c>
      <c r="W115" s="241">
        <f t="shared" si="19"/>
        <v>211</v>
      </c>
      <c r="X115" s="241" t="str">
        <f t="shared" si="16"/>
        <v/>
      </c>
      <c r="Y115" s="241">
        <f t="shared" si="17"/>
        <v>1</v>
      </c>
      <c r="Z115" s="241" t="str">
        <f t="shared" si="18"/>
        <v/>
      </c>
      <c r="AB115" s="241" t="s">
        <v>733</v>
      </c>
    </row>
    <row r="116" spans="1:35" ht="15" x14ac:dyDescent="0.25">
      <c r="A116" s="241" t="str">
        <f t="shared" si="14"/>
        <v/>
      </c>
      <c r="B116" s="409" t="s">
        <v>693</v>
      </c>
      <c r="D116" s="241">
        <v>8.4000000000000005E-2</v>
      </c>
      <c r="E116" s="241">
        <v>0.1</v>
      </c>
      <c r="G116" s="339">
        <v>88</v>
      </c>
      <c r="H116" s="241">
        <v>101.43</v>
      </c>
      <c r="I116" s="241">
        <v>34</v>
      </c>
      <c r="J116" s="339">
        <v>35</v>
      </c>
      <c r="K116" s="241">
        <v>30.42</v>
      </c>
      <c r="L116" s="339">
        <v>0</v>
      </c>
      <c r="Q116" s="241">
        <f>IF(H116&lt;60,'Berechnung-WÜ-Material'!$AL$110,IF(AND(H116&gt;=60,H116&lt;80),'Berechnung-WÜ-Material'!$AM$110,IF(AND('Daten-Materialien'!H116&gt;=80,'Daten-Materialien'!H116&lt;100),'Berechnung-WÜ-Material'!$AN$110,IF(AND(H116&gt;=100,H116&lt;120),'Berechnung-WÜ-Material'!$AO$110,IF(AND('Daten-Materialien'!H116&gt;=120,'Daten-Materialien'!H116&lt;140),'Berechnung-WÜ-Material'!$AP$110,IF('Daten-Materialien'!H116&gt;140,'Berechnung-WÜ-Material'!$AQ$110,"FEHLER"))))))</f>
        <v>3.4064092551223228</v>
      </c>
      <c r="R116" s="241">
        <f>IF(E116&lt;0.1,'Berechnung-WÜ-Material'!$AS$110,IF(AND(E116&gt;=0.1,E116&lt;0.3),'Berechnung-WÜ-Material'!$AT$110,IF(AND('Daten-Materialien'!E116&gt;=0.3,'Daten-Materialien'!E116&lt;0.6),'Berechnung-WÜ-Material'!$AU$110,IF(AND(E116&gt;=0.6,E116&lt;1),'Berechnung-WÜ-Material'!$AV$110,IF(AND('Daten-Materialien'!E116&gt;=1,'Daten-Materialien'!E116&lt;1.5),'Berechnung-WÜ-Material'!$AW$110,IF('Daten-Materialien'!E116&gt;1.5,'Berechnung-WÜ-Material'!$AX$110,"FEHLER"))))))</f>
        <v>8.1415883793382715</v>
      </c>
      <c r="S116" s="241">
        <f>IF(K116&lt;15,'Berechnung-WÜ-Material'!$AZ$110,IF(AND(K116&gt;=15,K116&lt;30),'Berechnung-WÜ-Material'!$BA$110,IF(AND('Daten-Materialien'!K116&gt;=30,'Daten-Materialien'!K116&lt;45),'Berechnung-WÜ-Material'!$BB$110,IF(AND(K116&gt;=45,K116&lt;60),'Berechnung-WÜ-Material'!$BC$110,IF(AND('Daten-Materialien'!K116&gt;=60,'Daten-Materialien'!K116&lt;75),'Berechnung-WÜ-Material'!$BD$110,IF('Daten-Materialien'!K116&gt;75,'Berechnung-WÜ-Material'!$BE$110,"FEHLER"))))))</f>
        <v>5.9436257603083487</v>
      </c>
      <c r="T116" s="241">
        <f>SUM(Q116:S116)+(L116*3*'Berechnung-WÜ-Material'!$G$22)</f>
        <v>17.491623394768943</v>
      </c>
      <c r="U116" s="241">
        <f t="shared" si="12"/>
        <v>53.672679245067783</v>
      </c>
      <c r="V116" s="241">
        <f>100/'Berechnung-WÜ-Material'!$BF$112*'Daten-Materialien'!T116</f>
        <v>85.381031478534041</v>
      </c>
      <c r="W116" s="241">
        <f t="shared" si="19"/>
        <v>5</v>
      </c>
      <c r="X116" s="241" t="str">
        <f t="shared" si="16"/>
        <v/>
      </c>
      <c r="Y116" s="241">
        <f t="shared" si="17"/>
        <v>1</v>
      </c>
      <c r="Z116" s="241" t="str">
        <f t="shared" si="18"/>
        <v/>
      </c>
      <c r="AB116" s="241" t="s">
        <v>808</v>
      </c>
      <c r="AD116" t="s">
        <v>992</v>
      </c>
      <c r="AF116" s="241" t="s">
        <v>693</v>
      </c>
    </row>
    <row r="117" spans="1:35" ht="15" customHeight="1" x14ac:dyDescent="0.25">
      <c r="A117" s="241" t="str">
        <f t="shared" si="14"/>
        <v/>
      </c>
      <c r="B117" s="409" t="s">
        <v>694</v>
      </c>
      <c r="D117" s="241">
        <v>0.112</v>
      </c>
      <c r="E117" s="241">
        <v>0.16</v>
      </c>
      <c r="G117" s="339">
        <v>83</v>
      </c>
      <c r="H117" s="241">
        <v>84.63</v>
      </c>
      <c r="I117" s="241">
        <v>37</v>
      </c>
      <c r="J117" s="241">
        <v>38</v>
      </c>
      <c r="K117" s="241">
        <v>46.83</v>
      </c>
      <c r="L117" s="241">
        <v>0</v>
      </c>
      <c r="Q117" s="241">
        <f>IF(H117&lt;60,'Berechnung-WÜ-Material'!$AL$110,IF(AND(H117&gt;=60,H117&lt;80),'Berechnung-WÜ-Material'!$AM$110,IF(AND('Daten-Materialien'!H117&gt;=80,'Daten-Materialien'!H117&lt;100),'Berechnung-WÜ-Material'!$AN$110,IF(AND(H117&gt;=100,H117&lt;120),'Berechnung-WÜ-Material'!$AO$110,IF(AND('Daten-Materialien'!H117&gt;=120,'Daten-Materialien'!H117&lt;140),'Berechnung-WÜ-Material'!$AP$110,IF('Daten-Materialien'!H117&gt;140,'Berechnung-WÜ-Material'!$AQ$110,"FEHLER"))))))</f>
        <v>2.9517194566014666</v>
      </c>
      <c r="R117" s="241">
        <f>IF(E117&lt;0.1,'Berechnung-WÜ-Material'!$AS$110,IF(AND(E117&gt;=0.1,E117&lt;0.3),'Berechnung-WÜ-Material'!$AT$110,IF(AND('Daten-Materialien'!E117&gt;=0.3,'Daten-Materialien'!E117&lt;0.6),'Berechnung-WÜ-Material'!$AU$110,IF(AND(E117&gt;=0.6,E117&lt;1),'Berechnung-WÜ-Material'!$AV$110,IF(AND('Daten-Materialien'!E117&gt;=1,'Daten-Materialien'!E117&lt;1.5),'Berechnung-WÜ-Material'!$AW$110,IF('Daten-Materialien'!E117&gt;1.5,'Berechnung-WÜ-Material'!$AX$110,"FEHLER"))))))</f>
        <v>8.1415883793382715</v>
      </c>
      <c r="S117" s="241">
        <f>IF(K117&lt;15,'Berechnung-WÜ-Material'!$AZ$110,IF(AND(K117&gt;=15,K117&lt;30),'Berechnung-WÜ-Material'!$BA$110,IF(AND('Daten-Materialien'!K117&gt;=30,'Daten-Materialien'!K117&lt;45),'Berechnung-WÜ-Material'!$BB$110,IF(AND(K117&gt;=45,K117&lt;60),'Berechnung-WÜ-Material'!$BC$110,IF(AND('Daten-Materialien'!K117&gt;=60,'Daten-Materialien'!K117&lt;75),'Berechnung-WÜ-Material'!$BD$110,IF('Daten-Materialien'!K117&gt;75,'Berechnung-WÜ-Material'!$BE$110,"FEHLER"))))))</f>
        <v>2.6681383364247617</v>
      </c>
      <c r="T117" s="241">
        <f>SUM(Q117:S117)+(L117*3*'Berechnung-WÜ-Material'!$G$22)</f>
        <v>13.761446172364501</v>
      </c>
      <c r="U117" s="241">
        <f t="shared" si="12"/>
        <v>39.857208049872021</v>
      </c>
      <c r="V117" s="241">
        <f>100/'Berechnung-WÜ-Material'!$BF$112*'Daten-Materialien'!T117</f>
        <v>67.173094361509726</v>
      </c>
      <c r="W117" s="241">
        <f t="shared" si="19"/>
        <v>137</v>
      </c>
      <c r="X117" s="241" t="str">
        <f t="shared" si="16"/>
        <v/>
      </c>
      <c r="Y117" s="241">
        <f t="shared" si="17"/>
        <v>1</v>
      </c>
      <c r="Z117" s="241" t="str">
        <f t="shared" si="18"/>
        <v/>
      </c>
      <c r="AB117" s="241" t="s">
        <v>813</v>
      </c>
      <c r="AD117" s="241" t="s">
        <v>992</v>
      </c>
      <c r="AF117" s="241" t="s">
        <v>694</v>
      </c>
    </row>
    <row r="118" spans="1:35" ht="15" customHeight="1" x14ac:dyDescent="0.25">
      <c r="A118" s="241" t="str">
        <f t="shared" si="14"/>
        <v/>
      </c>
      <c r="B118" s="409" t="s">
        <v>695</v>
      </c>
      <c r="D118" s="241">
        <v>8.7999999999999995E-2</v>
      </c>
      <c r="E118" s="241">
        <v>0.11</v>
      </c>
      <c r="G118" s="339">
        <v>86</v>
      </c>
      <c r="H118" s="241">
        <v>86.8</v>
      </c>
      <c r="I118" s="241">
        <v>32</v>
      </c>
      <c r="J118" s="241">
        <v>33</v>
      </c>
      <c r="K118" s="241">
        <v>39.229999999999997</v>
      </c>
      <c r="L118" s="241">
        <v>0</v>
      </c>
      <c r="Q118" s="241">
        <f>IF(H118&lt;60,'Berechnung-WÜ-Material'!$AL$110,IF(AND(H118&gt;=60,H118&lt;80),'Berechnung-WÜ-Material'!$AM$110,IF(AND('Daten-Materialien'!H118&gt;=80,'Daten-Materialien'!H118&lt;100),'Berechnung-WÜ-Material'!$AN$110,IF(AND(H118&gt;=100,H118&lt;120),'Berechnung-WÜ-Material'!$AO$110,IF(AND('Daten-Materialien'!H118&gt;=120,'Daten-Materialien'!H118&lt;140),'Berechnung-WÜ-Material'!$AP$110,IF('Daten-Materialien'!H118&gt;140,'Berechnung-WÜ-Material'!$AQ$110,"FEHLER"))))))</f>
        <v>2.9517194566014666</v>
      </c>
      <c r="R118" s="241">
        <f>IF(E118&lt;0.1,'Berechnung-WÜ-Material'!$AS$110,IF(AND(E118&gt;=0.1,E118&lt;0.3),'Berechnung-WÜ-Material'!$AT$110,IF(AND('Daten-Materialien'!E118&gt;=0.3,'Daten-Materialien'!E118&lt;0.6),'Berechnung-WÜ-Material'!$AU$110,IF(AND(E118&gt;=0.6,E118&lt;1),'Berechnung-WÜ-Material'!$AV$110,IF(AND('Daten-Materialien'!E118&gt;=1,'Daten-Materialien'!E118&lt;1.5),'Berechnung-WÜ-Material'!$AW$110,IF('Daten-Materialien'!E118&gt;1.5,'Berechnung-WÜ-Material'!$AX$110,"FEHLER"))))))</f>
        <v>8.1415883793382715</v>
      </c>
      <c r="S118" s="241">
        <f>IF(K118&lt;15,'Berechnung-WÜ-Material'!$AZ$110,IF(AND(K118&gt;=15,K118&lt;30),'Berechnung-WÜ-Material'!$BA$110,IF(AND('Daten-Materialien'!K118&gt;=30,'Daten-Materialien'!K118&lt;45),'Berechnung-WÜ-Material'!$BB$110,IF(AND(K118&gt;=45,K118&lt;60),'Berechnung-WÜ-Material'!$BC$110,IF(AND('Daten-Materialien'!K118&gt;=60,'Daten-Materialien'!K118&lt;75),'Berechnung-WÜ-Material'!$BD$110,IF('Daten-Materialien'!K118&gt;75,'Berechnung-WÜ-Material'!$BE$110,"FEHLER"))))))</f>
        <v>5.9436257603083487</v>
      </c>
      <c r="T118" s="241">
        <f>SUM(Q118:S118)+(L118*3*'Berechnung-WÜ-Material'!$G$22)</f>
        <v>17.036933596248087</v>
      </c>
      <c r="U118" s="241">
        <f t="shared" si="12"/>
        <v>51.988642954115079</v>
      </c>
      <c r="V118" s="241">
        <f>100/'Berechnung-WÜ-Material'!$BF$112*'Daten-Materialien'!T118</f>
        <v>83.16157573538743</v>
      </c>
      <c r="W118" s="241">
        <f t="shared" si="19"/>
        <v>13</v>
      </c>
      <c r="X118" s="241" t="str">
        <f t="shared" si="16"/>
        <v/>
      </c>
      <c r="Y118" s="241">
        <f t="shared" si="17"/>
        <v>1</v>
      </c>
      <c r="Z118" s="241" t="str">
        <f t="shared" si="18"/>
        <v/>
      </c>
      <c r="AB118" s="241" t="s">
        <v>894</v>
      </c>
      <c r="AD118" s="241" t="s">
        <v>992</v>
      </c>
      <c r="AF118" s="241" t="s">
        <v>695</v>
      </c>
    </row>
    <row r="119" spans="1:35" ht="15" x14ac:dyDescent="0.25">
      <c r="A119" s="241" t="str">
        <f t="shared" si="14"/>
        <v/>
      </c>
      <c r="B119" s="410" t="s">
        <v>921</v>
      </c>
      <c r="D119" s="241">
        <v>0.20200000000000001</v>
      </c>
      <c r="E119" s="241">
        <f t="shared" si="15"/>
        <v>0.20200000000000001</v>
      </c>
      <c r="G119" s="339">
        <v>100</v>
      </c>
      <c r="H119" s="241">
        <f t="shared" si="10"/>
        <v>100</v>
      </c>
      <c r="I119" s="241">
        <v>26</v>
      </c>
      <c r="J119" s="241">
        <v>33</v>
      </c>
      <c r="K119" s="241">
        <f t="shared" si="11"/>
        <v>29.5</v>
      </c>
      <c r="L119" s="241">
        <v>0</v>
      </c>
      <c r="Q119" s="241">
        <f>IF(H119&lt;60,'Berechnung-WÜ-Material'!$AL$110,IF(AND(H119&gt;=60,H119&lt;80),'Berechnung-WÜ-Material'!$AM$110,IF(AND('Daten-Materialien'!H119&gt;=80,'Daten-Materialien'!H119&lt;100),'Berechnung-WÜ-Material'!$AN$110,IF(AND(H119&gt;=100,H119&lt;120),'Berechnung-WÜ-Material'!$AO$110,IF(AND('Daten-Materialien'!H119&gt;=120,'Daten-Materialien'!H119&lt;140),'Berechnung-WÜ-Material'!$AP$110,IF('Daten-Materialien'!H119&gt;140,'Berechnung-WÜ-Material'!$AQ$110,"FEHLER"))))))</f>
        <v>3.4064092551223228</v>
      </c>
      <c r="R119" s="241">
        <f>IF(E119&lt;0.1,'Berechnung-WÜ-Material'!$AS$110,IF(AND(E119&gt;=0.1,E119&lt;0.3),'Berechnung-WÜ-Material'!$AT$110,IF(AND('Daten-Materialien'!E119&gt;=0.3,'Daten-Materialien'!E119&lt;0.6),'Berechnung-WÜ-Material'!$AU$110,IF(AND(E119&gt;=0.6,E119&lt;1),'Berechnung-WÜ-Material'!$AV$110,IF(AND('Daten-Materialien'!E119&gt;=1,'Daten-Materialien'!E119&lt;1.5),'Berechnung-WÜ-Material'!$AW$110,IF('Daten-Materialien'!E119&gt;1.5,'Berechnung-WÜ-Material'!$AX$110,"FEHLER"))))))</f>
        <v>8.1415883793382715</v>
      </c>
      <c r="S119" s="241">
        <f>IF(K119&lt;15,'Berechnung-WÜ-Material'!$AZ$110,IF(AND(K119&gt;=15,K119&lt;30),'Berechnung-WÜ-Material'!$BA$110,IF(AND('Daten-Materialien'!K119&gt;=30,'Daten-Materialien'!K119&lt;45),'Berechnung-WÜ-Material'!$BB$110,IF(AND(K119&gt;=45,K119&lt;60),'Berechnung-WÜ-Material'!$BC$110,IF(AND('Daten-Materialien'!K119&gt;=60,'Daten-Materialien'!K119&lt;75),'Berechnung-WÜ-Material'!$BD$110,IF('Daten-Materialien'!K119&gt;75,'Berechnung-WÜ-Material'!$BE$110,"FEHLER"))))))</f>
        <v>5.3164008462907759</v>
      </c>
      <c r="T119" s="241">
        <f>SUM(Q119:S119)+(L119*3*'Berechnung-WÜ-Material'!$G$22)</f>
        <v>16.864398480751369</v>
      </c>
      <c r="U119" s="241">
        <f t="shared" si="12"/>
        <v>51.349624007779816</v>
      </c>
      <c r="V119" s="241">
        <f>100/'Berechnung-WÜ-Material'!$BF$112*'Daten-Materialien'!T119</f>
        <v>82.319388261137135</v>
      </c>
      <c r="W119" s="241">
        <f t="shared" si="19"/>
        <v>24</v>
      </c>
      <c r="X119" s="241" t="str">
        <f t="shared" si="16"/>
        <v/>
      </c>
      <c r="Y119" s="241">
        <f t="shared" si="17"/>
        <v>1</v>
      </c>
      <c r="Z119" s="241" t="str">
        <f t="shared" si="18"/>
        <v/>
      </c>
      <c r="AB119" s="241" t="s">
        <v>822</v>
      </c>
      <c r="AD119" s="370" t="s">
        <v>984</v>
      </c>
      <c r="AF119" s="235" t="s">
        <v>865</v>
      </c>
      <c r="AI119">
        <f>91.9/21.58</f>
        <v>4.2585727525486572</v>
      </c>
    </row>
    <row r="120" spans="1:35" ht="15" x14ac:dyDescent="0.25">
      <c r="A120" s="241" t="str">
        <f t="shared" si="14"/>
        <v/>
      </c>
      <c r="B120" s="409" t="s">
        <v>696</v>
      </c>
      <c r="D120" s="241">
        <v>0.30199999999999999</v>
      </c>
      <c r="E120" s="241">
        <f t="shared" si="15"/>
        <v>0.30199999999999999</v>
      </c>
      <c r="G120" s="339">
        <v>92</v>
      </c>
      <c r="H120" s="241">
        <f t="shared" si="10"/>
        <v>92</v>
      </c>
      <c r="J120" s="340">
        <v>31</v>
      </c>
      <c r="K120" s="241">
        <v>36.81</v>
      </c>
      <c r="L120" s="241">
        <v>0</v>
      </c>
      <c r="Q120" s="241">
        <f>IF(H120&lt;60,'Berechnung-WÜ-Material'!$AL$110,IF(AND(H120&gt;=60,H120&lt;80),'Berechnung-WÜ-Material'!$AM$110,IF(AND('Daten-Materialien'!H120&gt;=80,'Daten-Materialien'!H120&lt;100),'Berechnung-WÜ-Material'!$AN$110,IF(AND(H120&gt;=100,H120&lt;120),'Berechnung-WÜ-Material'!$AO$110,IF(AND('Daten-Materialien'!H120&gt;=120,'Daten-Materialien'!H120&lt;140),'Berechnung-WÜ-Material'!$AP$110,IF('Daten-Materialien'!H120&gt;140,'Berechnung-WÜ-Material'!$AQ$110,"FEHLER"))))))</f>
        <v>2.9517194566014666</v>
      </c>
      <c r="R120" s="241">
        <f>IF(E120&lt;0.1,'Berechnung-WÜ-Material'!$AS$110,IF(AND(E120&gt;=0.1,E120&lt;0.3),'Berechnung-WÜ-Material'!$AT$110,IF(AND('Daten-Materialien'!E120&gt;=0.3,'Daten-Materialien'!E120&lt;0.6),'Berechnung-WÜ-Material'!$AU$110,IF(AND(E120&gt;=0.6,E120&lt;1),'Berechnung-WÜ-Material'!$AV$110,IF(AND('Daten-Materialien'!E120&gt;=1,'Daten-Materialien'!E120&lt;1.5),'Berechnung-WÜ-Material'!$AW$110,IF('Daten-Materialien'!E120&gt;1.5,'Berechnung-WÜ-Material'!$AX$110,"FEHLER"))))))</f>
        <v>7.4603395508911365</v>
      </c>
      <c r="S120" s="241">
        <f>IF(K120&lt;15,'Berechnung-WÜ-Material'!$AZ$110,IF(AND(K120&gt;=15,K120&lt;30),'Berechnung-WÜ-Material'!$BA$110,IF(AND('Daten-Materialien'!K120&gt;=30,'Daten-Materialien'!K120&lt;45),'Berechnung-WÜ-Material'!$BB$110,IF(AND(K120&gt;=45,K120&lt;60),'Berechnung-WÜ-Material'!$BC$110,IF(AND('Daten-Materialien'!K120&gt;=60,'Daten-Materialien'!K120&lt;75),'Berechnung-WÜ-Material'!$BD$110,IF('Daten-Materialien'!K120&gt;75,'Berechnung-WÜ-Material'!$BE$110,"FEHLER"))))))</f>
        <v>5.9436257603083487</v>
      </c>
      <c r="T120" s="241">
        <f>SUM(Q120:S120)+(L120*3*'Berechnung-WÜ-Material'!$G$22)</f>
        <v>16.355684767800952</v>
      </c>
      <c r="U120" s="241">
        <f t="shared" si="12"/>
        <v>49.465499144849765</v>
      </c>
      <c r="V120" s="241">
        <f>100/'Berechnung-WÜ-Material'!$BF$112*'Daten-Materialien'!T120</f>
        <v>79.836228147366853</v>
      </c>
      <c r="W120" s="241">
        <f t="shared" si="19"/>
        <v>43</v>
      </c>
      <c r="X120" s="241" t="str">
        <f t="shared" si="16"/>
        <v/>
      </c>
      <c r="Y120" s="241">
        <f t="shared" si="17"/>
        <v>1</v>
      </c>
      <c r="Z120" s="241" t="str">
        <f t="shared" si="18"/>
        <v/>
      </c>
      <c r="AB120" s="241" t="s">
        <v>815</v>
      </c>
      <c r="AF120" s="241" t="s">
        <v>696</v>
      </c>
    </row>
    <row r="121" spans="1:35" ht="15" x14ac:dyDescent="0.25">
      <c r="A121" s="241" t="str">
        <f t="shared" si="14"/>
        <v/>
      </c>
      <c r="B121" s="410" t="s">
        <v>864</v>
      </c>
      <c r="D121" s="241">
        <v>0.32800000000000001</v>
      </c>
      <c r="E121" s="241">
        <f t="shared" si="15"/>
        <v>0.32800000000000001</v>
      </c>
      <c r="G121" s="339">
        <v>82</v>
      </c>
      <c r="H121" s="241">
        <f t="shared" si="10"/>
        <v>82</v>
      </c>
      <c r="J121" s="340">
        <v>31</v>
      </c>
      <c r="K121" s="241">
        <v>41.78</v>
      </c>
      <c r="L121" s="241">
        <v>0</v>
      </c>
      <c r="Q121" s="241">
        <f>IF(H121&lt;60,'Berechnung-WÜ-Material'!$AL$110,IF(AND(H121&gt;=60,H121&lt;80),'Berechnung-WÜ-Material'!$AM$110,IF(AND('Daten-Materialien'!H121&gt;=80,'Daten-Materialien'!H121&lt;100),'Berechnung-WÜ-Material'!$AN$110,IF(AND(H121&gt;=100,H121&lt;120),'Berechnung-WÜ-Material'!$AO$110,IF(AND('Daten-Materialien'!H121&gt;=120,'Daten-Materialien'!H121&lt;140),'Berechnung-WÜ-Material'!$AP$110,IF('Daten-Materialien'!H121&gt;140,'Berechnung-WÜ-Material'!$AQ$110,"FEHLER"))))))</f>
        <v>2.9517194566014666</v>
      </c>
      <c r="R121" s="241">
        <f>IF(E121&lt;0.1,'Berechnung-WÜ-Material'!$AS$110,IF(AND(E121&gt;=0.1,E121&lt;0.3),'Berechnung-WÜ-Material'!$AT$110,IF(AND('Daten-Materialien'!E121&gt;=0.3,'Daten-Materialien'!E121&lt;0.6),'Berechnung-WÜ-Material'!$AU$110,IF(AND(E121&gt;=0.6,E121&lt;1),'Berechnung-WÜ-Material'!$AV$110,IF(AND('Daten-Materialien'!E121&gt;=1,'Daten-Materialien'!E121&lt;1.5),'Berechnung-WÜ-Material'!$AW$110,IF('Daten-Materialien'!E121&gt;1.5,'Berechnung-WÜ-Material'!$AX$110,"FEHLER"))))))</f>
        <v>7.4603395508911365</v>
      </c>
      <c r="S121" s="241">
        <f>IF(K121&lt;15,'Berechnung-WÜ-Material'!$AZ$110,IF(AND(K121&gt;=15,K121&lt;30),'Berechnung-WÜ-Material'!$BA$110,IF(AND('Daten-Materialien'!K121&gt;=30,'Daten-Materialien'!K121&lt;45),'Berechnung-WÜ-Material'!$BB$110,IF(AND(K121&gt;=45,K121&lt;60),'Berechnung-WÜ-Material'!$BC$110,IF(AND('Daten-Materialien'!K121&gt;=60,'Daten-Materialien'!K121&lt;75),'Berechnung-WÜ-Material'!$BD$110,IF('Daten-Materialien'!K121&gt;75,'Berechnung-WÜ-Material'!$BE$110,"FEHLER"))))))</f>
        <v>5.9436257603083487</v>
      </c>
      <c r="T121" s="241">
        <f>SUM(Q121:S121)+(L121*3*'Berechnung-WÜ-Material'!$G$22)</f>
        <v>16.355684767800952</v>
      </c>
      <c r="U121" s="241">
        <f t="shared" si="12"/>
        <v>49.465499144849765</v>
      </c>
      <c r="V121" s="241">
        <f>100/'Berechnung-WÜ-Material'!$BF$112*'Daten-Materialien'!T121</f>
        <v>79.836228147366853</v>
      </c>
      <c r="W121" s="241">
        <f t="shared" si="19"/>
        <v>43</v>
      </c>
      <c r="X121" s="241" t="str">
        <f t="shared" si="16"/>
        <v/>
      </c>
      <c r="Y121" s="241">
        <f t="shared" si="17"/>
        <v>1</v>
      </c>
      <c r="Z121" s="241" t="str">
        <f t="shared" si="18"/>
        <v/>
      </c>
      <c r="AB121" s="241" t="s">
        <v>814</v>
      </c>
      <c r="AD121" s="241" t="s">
        <v>987</v>
      </c>
      <c r="AF121" s="235" t="s">
        <v>864</v>
      </c>
    </row>
    <row r="122" spans="1:35" ht="15" x14ac:dyDescent="0.25">
      <c r="A122" s="241" t="str">
        <f t="shared" si="14"/>
        <v/>
      </c>
      <c r="B122" s="409" t="s">
        <v>697</v>
      </c>
      <c r="D122" s="241">
        <v>0.214</v>
      </c>
      <c r="E122" s="241">
        <v>0.22</v>
      </c>
      <c r="G122" s="339">
        <v>64</v>
      </c>
      <c r="H122" s="241">
        <v>109.58</v>
      </c>
      <c r="J122" s="340">
        <v>31</v>
      </c>
      <c r="K122" s="241">
        <v>12.05</v>
      </c>
      <c r="L122" s="241">
        <v>0.5</v>
      </c>
      <c r="Q122" s="241">
        <f>IF(H122&lt;60,'Berechnung-WÜ-Material'!$AL$110,IF(AND(H122&gt;=60,H122&lt;80),'Berechnung-WÜ-Material'!$AM$110,IF(AND('Daten-Materialien'!H122&gt;=80,'Daten-Materialien'!H122&lt;100),'Berechnung-WÜ-Material'!$AN$110,IF(AND(H122&gt;=100,H122&lt;120),'Berechnung-WÜ-Material'!$AO$110,IF(AND('Daten-Materialien'!H122&gt;=120,'Daten-Materialien'!H122&lt;140),'Berechnung-WÜ-Material'!$AP$110,IF('Daten-Materialien'!H122&gt;140,'Berechnung-WÜ-Material'!$AQ$110,"FEHLER"))))))</f>
        <v>3.4064092551223228</v>
      </c>
      <c r="R122" s="241">
        <f>IF(E122&lt;0.1,'Berechnung-WÜ-Material'!$AS$110,IF(AND(E122&gt;=0.1,E122&lt;0.3),'Berechnung-WÜ-Material'!$AT$110,IF(AND('Daten-Materialien'!E122&gt;=0.3,'Daten-Materialien'!E122&lt;0.6),'Berechnung-WÜ-Material'!$AU$110,IF(AND(E122&gt;=0.6,E122&lt;1),'Berechnung-WÜ-Material'!$AV$110,IF(AND('Daten-Materialien'!E122&gt;=1,'Daten-Materialien'!E122&lt;1.5),'Berechnung-WÜ-Material'!$AW$110,IF('Daten-Materialien'!E122&gt;1.5,'Berechnung-WÜ-Material'!$AX$110,"FEHLER"))))))</f>
        <v>8.1415883793382715</v>
      </c>
      <c r="S122" s="241">
        <f>IF(K122&lt;15,'Berechnung-WÜ-Material'!$AZ$110,IF(AND(K122&gt;=15,K122&lt;30),'Berechnung-WÜ-Material'!$BA$110,IF(AND('Daten-Materialien'!K122&gt;=30,'Daten-Materialien'!K122&lt;45),'Berechnung-WÜ-Material'!$BB$110,IF(AND(K122&gt;=45,K122&lt;60),'Berechnung-WÜ-Material'!$BC$110,IF(AND('Daten-Materialien'!K122&gt;=60,'Daten-Materialien'!K122&lt;75),'Berechnung-WÜ-Material'!$BD$110,IF('Daten-Materialien'!K122&gt;75,'Berechnung-WÜ-Material'!$BE$110,"FEHLER"))))))</f>
        <v>3.4607748084549512</v>
      </c>
      <c r="T122" s="241">
        <f>SUM(Q122:S122)+(L122*3*'Berechnung-WÜ-Material'!$G$22)</f>
        <v>15.836882236747394</v>
      </c>
      <c r="U122" s="241">
        <f t="shared" si="12"/>
        <v>47.54400828894213</v>
      </c>
      <c r="V122" s="241">
        <f>100/'Berechnung-WÜ-Material'!$BF$112*'Daten-Materialien'!T122</f>
        <v>77.303821964400768</v>
      </c>
      <c r="W122" s="241">
        <f t="shared" si="19"/>
        <v>64</v>
      </c>
      <c r="X122" s="241" t="str">
        <f t="shared" si="16"/>
        <v/>
      </c>
      <c r="Y122" s="241">
        <f t="shared" si="17"/>
        <v>1</v>
      </c>
      <c r="Z122" s="241" t="str">
        <f t="shared" si="18"/>
        <v/>
      </c>
      <c r="AB122" s="241" t="s">
        <v>817</v>
      </c>
      <c r="AD122" t="s">
        <v>990</v>
      </c>
      <c r="AF122" s="241" t="s">
        <v>697</v>
      </c>
    </row>
    <row r="123" spans="1:35" ht="15" x14ac:dyDescent="0.25">
      <c r="A123" s="241" t="str">
        <f t="shared" si="14"/>
        <v/>
      </c>
      <c r="B123" s="409" t="s">
        <v>698</v>
      </c>
      <c r="D123" s="337">
        <v>7.0000000000000007E-2</v>
      </c>
      <c r="E123" s="241">
        <f t="shared" si="15"/>
        <v>7.0000000000000007E-2</v>
      </c>
      <c r="G123" s="339">
        <v>65</v>
      </c>
      <c r="H123" s="241">
        <f t="shared" si="10"/>
        <v>65</v>
      </c>
      <c r="I123" s="241">
        <v>39</v>
      </c>
      <c r="J123" s="241">
        <v>40</v>
      </c>
      <c r="K123" s="385">
        <f t="shared" si="11"/>
        <v>39.5</v>
      </c>
      <c r="L123" s="241">
        <v>0.5</v>
      </c>
      <c r="Q123" s="241">
        <f>IF(H123&lt;60,'Berechnung-WÜ-Material'!$AL$110,IF(AND(H123&gt;=60,H123&lt;80),'Berechnung-WÜ-Material'!$AM$110,IF(AND('Daten-Materialien'!H123&gt;=80,'Daten-Materialien'!H123&lt;100),'Berechnung-WÜ-Material'!$AN$110,IF(AND(H123&gt;=100,H123&lt;120),'Berechnung-WÜ-Material'!$AO$110,IF(AND('Daten-Materialien'!H123&gt;=120,'Daten-Materialien'!H123&lt;140),'Berechnung-WÜ-Material'!$AP$110,IF('Daten-Materialien'!H123&gt;140,'Berechnung-WÜ-Material'!$AQ$110,"FEHLER"))))))</f>
        <v>1.4830749679207913</v>
      </c>
      <c r="R123" s="241">
        <f>IF(E123&lt;0.1,'Berechnung-WÜ-Material'!$AS$110,IF(AND(E123&gt;=0.1,E123&lt;0.3),'Berechnung-WÜ-Material'!$AT$110,IF(AND('Daten-Materialien'!E123&gt;=0.3,'Daten-Materialien'!E123&lt;0.6),'Berechnung-WÜ-Material'!$AU$110,IF(AND(E123&gt;=0.6,E123&lt;1),'Berechnung-WÜ-Material'!$AV$110,IF(AND('Daten-Materialien'!E123&gt;=1,'Daten-Materialien'!E123&lt;1.5),'Berechnung-WÜ-Material'!$AW$110,IF('Daten-Materialien'!E123&gt;1.5,'Berechnung-WÜ-Material'!$AX$110,"FEHLER"))))))</f>
        <v>5.4090960472347849</v>
      </c>
      <c r="S123" s="241">
        <f>IF(K123&lt;15,'Berechnung-WÜ-Material'!$AZ$110,IF(AND(K123&gt;=15,K123&lt;30),'Berechnung-WÜ-Material'!$BA$110,IF(AND('Daten-Materialien'!K123&gt;=30,'Daten-Materialien'!K123&lt;45),'Berechnung-WÜ-Material'!$BB$110,IF(AND(K123&gt;=45,K123&lt;60),'Berechnung-WÜ-Material'!$BC$110,IF(AND('Daten-Materialien'!K123&gt;=60,'Daten-Materialien'!K123&lt;75),'Berechnung-WÜ-Material'!$BD$110,IF('Daten-Materialien'!K123&gt;75,'Berechnung-WÜ-Material'!$BE$110,"FEHLER"))))))</f>
        <v>5.9436257603083487</v>
      </c>
      <c r="T123" s="241">
        <f>SUM(Q123:S123)+(L123*3*'Berechnung-WÜ-Material'!$G$22)</f>
        <v>13.663906569295772</v>
      </c>
      <c r="U123" s="241">
        <f t="shared" si="12"/>
        <v>39.495950260699686</v>
      </c>
      <c r="V123" s="241">
        <f>100/'Berechnung-WÜ-Material'!$BF$112*'Daten-Materialien'!T123</f>
        <v>66.696978924305341</v>
      </c>
      <c r="W123" s="241">
        <f t="shared" si="19"/>
        <v>149</v>
      </c>
      <c r="X123" s="241" t="str">
        <f t="shared" si="16"/>
        <v/>
      </c>
      <c r="Y123" s="241">
        <f t="shared" si="17"/>
        <v>1</v>
      </c>
      <c r="Z123" s="241" t="str">
        <f t="shared" si="18"/>
        <v/>
      </c>
      <c r="AB123" s="241" t="s">
        <v>818</v>
      </c>
      <c r="AD123" t="s">
        <v>991</v>
      </c>
      <c r="AF123" s="241" t="s">
        <v>698</v>
      </c>
    </row>
    <row r="124" spans="1:35" ht="15" x14ac:dyDescent="0.25">
      <c r="A124" s="241" t="str">
        <f t="shared" si="14"/>
        <v/>
      </c>
      <c r="B124" s="409" t="s">
        <v>1031</v>
      </c>
      <c r="D124" s="241">
        <v>0.24299999999999999</v>
      </c>
      <c r="E124" s="241">
        <v>0.3</v>
      </c>
      <c r="G124" s="339">
        <v>80</v>
      </c>
      <c r="H124" s="241">
        <v>99.81</v>
      </c>
      <c r="I124" s="241">
        <v>33</v>
      </c>
      <c r="J124" s="241">
        <v>35</v>
      </c>
      <c r="K124" s="241">
        <v>26.51</v>
      </c>
      <c r="L124" s="241">
        <v>0</v>
      </c>
      <c r="Q124" s="241">
        <f>IF(H124&lt;60,'Berechnung-WÜ-Material'!$AL$110,IF(AND(H124&gt;=60,H124&lt;80),'Berechnung-WÜ-Material'!$AM$110,IF(AND('Daten-Materialien'!H124&gt;=80,'Daten-Materialien'!H124&lt;100),'Berechnung-WÜ-Material'!$AN$110,IF(AND(H124&gt;=100,H124&lt;120),'Berechnung-WÜ-Material'!$AO$110,IF(AND('Daten-Materialien'!H124&gt;=120,'Daten-Materialien'!H124&lt;140),'Berechnung-WÜ-Material'!$AP$110,IF('Daten-Materialien'!H124&gt;140,'Berechnung-WÜ-Material'!$AQ$110,"FEHLER"))))))</f>
        <v>2.9517194566014666</v>
      </c>
      <c r="R124" s="241">
        <f>IF(E124&lt;0.1,'Berechnung-WÜ-Material'!$AS$110,IF(AND(E124&gt;=0.1,E124&lt;0.3),'Berechnung-WÜ-Material'!$AT$110,IF(AND('Daten-Materialien'!E124&gt;=0.3,'Daten-Materialien'!E124&lt;0.6),'Berechnung-WÜ-Material'!$AU$110,IF(AND(E124&gt;=0.6,E124&lt;1),'Berechnung-WÜ-Material'!$AV$110,IF(AND('Daten-Materialien'!E124&gt;=1,'Daten-Materialien'!E124&lt;1.5),'Berechnung-WÜ-Material'!$AW$110,IF('Daten-Materialien'!E124&gt;1.5,'Berechnung-WÜ-Material'!$AX$110,"FEHLER"))))))</f>
        <v>7.4603395508911365</v>
      </c>
      <c r="S124" s="241">
        <f>IF(K124&lt;15,'Berechnung-WÜ-Material'!$AZ$110,IF(AND(K124&gt;=15,K124&lt;30),'Berechnung-WÜ-Material'!$BA$110,IF(AND('Daten-Materialien'!K124&gt;=30,'Daten-Materialien'!K124&lt;45),'Berechnung-WÜ-Material'!$BB$110,IF(AND(K124&gt;=45,K124&lt;60),'Berechnung-WÜ-Material'!$BC$110,IF(AND('Daten-Materialien'!K124&gt;=60,'Daten-Materialien'!K124&lt;75),'Berechnung-WÜ-Material'!$BD$110,IF('Daten-Materialien'!K124&gt;75,'Berechnung-WÜ-Material'!$BE$110,"FEHLER"))))))</f>
        <v>5.3164008462907759</v>
      </c>
      <c r="T124" s="241">
        <f>SUM(Q124:S124)+(L124*3*'Berechnung-WÜ-Material'!$G$22)</f>
        <v>15.728459853783379</v>
      </c>
      <c r="U124" s="241">
        <f t="shared" si="12"/>
        <v>47.142443907561798</v>
      </c>
      <c r="V124" s="241">
        <f>100/'Berechnung-WÜ-Material'!$BF$112*'Daten-Materialien'!T124</f>
        <v>76.774584929969961</v>
      </c>
      <c r="W124" s="241">
        <f t="shared" si="19"/>
        <v>65</v>
      </c>
      <c r="X124" s="241" t="str">
        <f t="shared" si="16"/>
        <v/>
      </c>
      <c r="Y124" s="241">
        <f t="shared" si="17"/>
        <v>1</v>
      </c>
      <c r="Z124" s="241" t="str">
        <f t="shared" si="18"/>
        <v/>
      </c>
      <c r="AB124" s="241" t="s">
        <v>819</v>
      </c>
      <c r="AD124" t="s">
        <v>995</v>
      </c>
      <c r="AF124" s="241" t="s">
        <v>699</v>
      </c>
      <c r="AI124">
        <f>34.9/10</f>
        <v>3.4899999999999998</v>
      </c>
    </row>
    <row r="125" spans="1:35" ht="15" x14ac:dyDescent="0.25">
      <c r="A125" s="241" t="str">
        <f t="shared" si="14"/>
        <v/>
      </c>
      <c r="B125" s="409" t="s">
        <v>700</v>
      </c>
      <c r="D125" s="241">
        <v>0.20399999999999999</v>
      </c>
      <c r="E125" s="241">
        <f t="shared" si="15"/>
        <v>0.20399999999999999</v>
      </c>
      <c r="G125" s="339">
        <v>94</v>
      </c>
      <c r="H125" s="241">
        <f t="shared" si="10"/>
        <v>94</v>
      </c>
      <c r="I125" s="241">
        <v>32</v>
      </c>
      <c r="J125" s="241">
        <v>33</v>
      </c>
      <c r="K125" s="241">
        <f t="shared" si="11"/>
        <v>32.5</v>
      </c>
      <c r="L125" s="241">
        <v>0</v>
      </c>
      <c r="Q125" s="241">
        <f>IF(H125&lt;60,'Berechnung-WÜ-Material'!$AL$110,IF(AND(H125&gt;=60,H125&lt;80),'Berechnung-WÜ-Material'!$AM$110,IF(AND('Daten-Materialien'!H125&gt;=80,'Daten-Materialien'!H125&lt;100),'Berechnung-WÜ-Material'!$AN$110,IF(AND(H125&gt;=100,H125&lt;120),'Berechnung-WÜ-Material'!$AO$110,IF(AND('Daten-Materialien'!H125&gt;=120,'Daten-Materialien'!H125&lt;140),'Berechnung-WÜ-Material'!$AP$110,IF('Daten-Materialien'!H125&gt;140,'Berechnung-WÜ-Material'!$AQ$110,"FEHLER"))))))</f>
        <v>2.9517194566014666</v>
      </c>
      <c r="R125" s="241">
        <f>IF(E125&lt;0.1,'Berechnung-WÜ-Material'!$AS$110,IF(AND(E125&gt;=0.1,E125&lt;0.3),'Berechnung-WÜ-Material'!$AT$110,IF(AND('Daten-Materialien'!E125&gt;=0.3,'Daten-Materialien'!E125&lt;0.6),'Berechnung-WÜ-Material'!$AU$110,IF(AND(E125&gt;=0.6,E125&lt;1),'Berechnung-WÜ-Material'!$AV$110,IF(AND('Daten-Materialien'!E125&gt;=1,'Daten-Materialien'!E125&lt;1.5),'Berechnung-WÜ-Material'!$AW$110,IF('Daten-Materialien'!E125&gt;1.5,'Berechnung-WÜ-Material'!$AX$110,"FEHLER"))))))</f>
        <v>8.1415883793382715</v>
      </c>
      <c r="S125" s="241">
        <f>IF(K125&lt;15,'Berechnung-WÜ-Material'!$AZ$110,IF(AND(K125&gt;=15,K125&lt;30),'Berechnung-WÜ-Material'!$BA$110,IF(AND('Daten-Materialien'!K125&gt;=30,'Daten-Materialien'!K125&lt;45),'Berechnung-WÜ-Material'!$BB$110,IF(AND(K125&gt;=45,K125&lt;60),'Berechnung-WÜ-Material'!$BC$110,IF(AND('Daten-Materialien'!K125&gt;=60,'Daten-Materialien'!K125&lt;75),'Berechnung-WÜ-Material'!$BD$110,IF('Daten-Materialien'!K125&gt;75,'Berechnung-WÜ-Material'!$BE$110,"FEHLER"))))))</f>
        <v>5.9436257603083487</v>
      </c>
      <c r="T125" s="241">
        <f>SUM(Q125:S125)+(L125*3*'Berechnung-WÜ-Material'!$G$22)</f>
        <v>17.036933596248087</v>
      </c>
      <c r="U125" s="241">
        <f t="shared" si="12"/>
        <v>51.988642954115079</v>
      </c>
      <c r="V125" s="241">
        <f>100/'Berechnung-WÜ-Material'!$BF$112*'Daten-Materialien'!T125</f>
        <v>83.16157573538743</v>
      </c>
      <c r="W125" s="241">
        <f t="shared" si="19"/>
        <v>13</v>
      </c>
      <c r="X125" s="241" t="str">
        <f t="shared" si="16"/>
        <v/>
      </c>
      <c r="Y125" s="241">
        <f t="shared" si="17"/>
        <v>1</v>
      </c>
      <c r="Z125" s="241" t="str">
        <f t="shared" si="18"/>
        <v/>
      </c>
      <c r="AB125" s="241" t="s">
        <v>820</v>
      </c>
      <c r="AD125" t="s">
        <v>993</v>
      </c>
      <c r="AF125" s="241" t="s">
        <v>700</v>
      </c>
    </row>
    <row r="126" spans="1:35" ht="15" x14ac:dyDescent="0.25">
      <c r="A126" s="241" t="str">
        <f t="shared" si="14"/>
        <v/>
      </c>
      <c r="B126" s="410" t="s">
        <v>877</v>
      </c>
      <c r="D126" s="241">
        <v>0.26300000000000001</v>
      </c>
      <c r="E126" s="241">
        <f t="shared" si="15"/>
        <v>0.26300000000000001</v>
      </c>
      <c r="G126" s="339">
        <v>76</v>
      </c>
      <c r="H126" s="241">
        <f t="shared" si="10"/>
        <v>76</v>
      </c>
      <c r="I126" s="241">
        <v>37</v>
      </c>
      <c r="J126" s="241">
        <v>37</v>
      </c>
      <c r="K126" s="241">
        <v>42.18</v>
      </c>
      <c r="L126" s="241">
        <v>0</v>
      </c>
      <c r="Q126" s="241">
        <f>IF(H126&lt;60,'Berechnung-WÜ-Material'!$AL$110,IF(AND(H126&gt;=60,H126&lt;80),'Berechnung-WÜ-Material'!$AM$110,IF(AND('Daten-Materialien'!H126&gt;=80,'Daten-Materialien'!H126&lt;100),'Berechnung-WÜ-Material'!$AN$110,IF(AND(H126&gt;=100,H126&lt;120),'Berechnung-WÜ-Material'!$AO$110,IF(AND('Daten-Materialien'!H126&gt;=120,'Daten-Materialien'!H126&lt;140),'Berechnung-WÜ-Material'!$AP$110,IF('Daten-Materialien'!H126&gt;140,'Berechnung-WÜ-Material'!$AQ$110,"FEHLER"))))))</f>
        <v>1.4830749679207913</v>
      </c>
      <c r="R126" s="241">
        <f>IF(E126&lt;0.1,'Berechnung-WÜ-Material'!$AS$110,IF(AND(E126&gt;=0.1,E126&lt;0.3),'Berechnung-WÜ-Material'!$AT$110,IF(AND('Daten-Materialien'!E126&gt;=0.3,'Daten-Materialien'!E126&lt;0.6),'Berechnung-WÜ-Material'!$AU$110,IF(AND(E126&gt;=0.6,E126&lt;1),'Berechnung-WÜ-Material'!$AV$110,IF(AND('Daten-Materialien'!E126&gt;=1,'Daten-Materialien'!E126&lt;1.5),'Berechnung-WÜ-Material'!$AW$110,IF('Daten-Materialien'!E126&gt;1.5,'Berechnung-WÜ-Material'!$AX$110,"FEHLER"))))))</f>
        <v>8.1415883793382715</v>
      </c>
      <c r="S126" s="241">
        <f>IF(K126&lt;15,'Berechnung-WÜ-Material'!$AZ$110,IF(AND(K126&gt;=15,K126&lt;30),'Berechnung-WÜ-Material'!$BA$110,IF(AND('Daten-Materialien'!K126&gt;=30,'Daten-Materialien'!K126&lt;45),'Berechnung-WÜ-Material'!$BB$110,IF(AND(K126&gt;=45,K126&lt;60),'Berechnung-WÜ-Material'!$BC$110,IF(AND('Daten-Materialien'!K126&gt;=60,'Daten-Materialien'!K126&lt;75),'Berechnung-WÜ-Material'!$BD$110,IF('Daten-Materialien'!K126&gt;75,'Berechnung-WÜ-Material'!$BE$110,"FEHLER"))))))</f>
        <v>5.9436257603083487</v>
      </c>
      <c r="T126" s="241">
        <f>SUM(Q126:S126)+(L126*3*'Berechnung-WÜ-Material'!$G$22)</f>
        <v>15.568289107567411</v>
      </c>
      <c r="U126" s="241">
        <f t="shared" si="12"/>
        <v>46.549218921529274</v>
      </c>
      <c r="V126" s="241">
        <f>100/'Berechnung-WÜ-Material'!$BF$112*'Daten-Materialien'!T126</f>
        <v>75.99275106492712</v>
      </c>
      <c r="W126" s="241">
        <f t="shared" si="19"/>
        <v>80</v>
      </c>
      <c r="X126" s="241" t="str">
        <f t="shared" si="16"/>
        <v/>
      </c>
      <c r="Y126" s="241">
        <f t="shared" si="17"/>
        <v>1</v>
      </c>
      <c r="Z126" s="241" t="str">
        <f t="shared" si="18"/>
        <v/>
      </c>
      <c r="AB126" s="241" t="s">
        <v>816</v>
      </c>
      <c r="AD126" t="s">
        <v>987</v>
      </c>
      <c r="AF126" s="235" t="s">
        <v>877</v>
      </c>
    </row>
    <row r="127" spans="1:35" s="241" customFormat="1" ht="15" x14ac:dyDescent="0.25">
      <c r="B127" s="409" t="s">
        <v>701</v>
      </c>
      <c r="D127" s="241">
        <v>0.33100000000000002</v>
      </c>
      <c r="E127" s="241">
        <f t="shared" si="15"/>
        <v>0.33100000000000002</v>
      </c>
      <c r="G127" s="339">
        <v>79</v>
      </c>
      <c r="H127" s="241">
        <f t="shared" si="10"/>
        <v>79</v>
      </c>
      <c r="I127" s="241">
        <v>32</v>
      </c>
      <c r="J127" s="241">
        <v>33</v>
      </c>
      <c r="K127" s="241">
        <f t="shared" si="11"/>
        <v>32.5</v>
      </c>
      <c r="L127" s="241">
        <v>0</v>
      </c>
      <c r="Q127" s="241">
        <f>IF(H127&lt;60,'Berechnung-WÜ-Material'!$AL$110,IF(AND(H127&gt;=60,H127&lt;80),'Berechnung-WÜ-Material'!$AM$110,IF(AND('Daten-Materialien'!H127&gt;=80,'Daten-Materialien'!H127&lt;100),'Berechnung-WÜ-Material'!$AN$110,IF(AND(H127&gt;=100,H127&lt;120),'Berechnung-WÜ-Material'!$AO$110,IF(AND('Daten-Materialien'!H127&gt;=120,'Daten-Materialien'!H127&lt;140),'Berechnung-WÜ-Material'!$AP$110,IF('Daten-Materialien'!H127&gt;140,'Berechnung-WÜ-Material'!$AQ$110,"FEHLER"))))))</f>
        <v>1.4830749679207913</v>
      </c>
      <c r="R127" s="241">
        <f>IF(E127&lt;0.1,'Berechnung-WÜ-Material'!$AS$110,IF(AND(E127&gt;=0.1,E127&lt;0.3),'Berechnung-WÜ-Material'!$AT$110,IF(AND('Daten-Materialien'!E127&gt;=0.3,'Daten-Materialien'!E127&lt;0.6),'Berechnung-WÜ-Material'!$AU$110,IF(AND(E127&gt;=0.6,E127&lt;1),'Berechnung-WÜ-Material'!$AV$110,IF(AND('Daten-Materialien'!E127&gt;=1,'Daten-Materialien'!E127&lt;1.5),'Berechnung-WÜ-Material'!$AW$110,IF('Daten-Materialien'!E127&gt;1.5,'Berechnung-WÜ-Material'!$AX$110,"FEHLER"))))))</f>
        <v>7.4603395508911365</v>
      </c>
      <c r="S127" s="241">
        <f>IF(K127&lt;15,'Berechnung-WÜ-Material'!$AZ$110,IF(AND(K127&gt;=15,K127&lt;30),'Berechnung-WÜ-Material'!$BA$110,IF(AND('Daten-Materialien'!K127&gt;=30,'Daten-Materialien'!K127&lt;45),'Berechnung-WÜ-Material'!$BB$110,IF(AND(K127&gt;=45,K127&lt;60),'Berechnung-WÜ-Material'!$BC$110,IF(AND('Daten-Materialien'!K127&gt;=60,'Daten-Materialien'!K127&lt;75),'Berechnung-WÜ-Material'!$BD$110,IF('Daten-Materialien'!K127&gt;75,'Berechnung-WÜ-Material'!$BE$110,"FEHLER"))))))</f>
        <v>5.9436257603083487</v>
      </c>
      <c r="T127" s="241">
        <f>SUM(Q127:S127)+(L127*3*'Berechnung-WÜ-Material'!$G$22)</f>
        <v>14.887040279120276</v>
      </c>
      <c r="U127" s="241">
        <f t="shared" ref="U127:U130" si="20">3.703703704*T127-11.111111111111</f>
        <v>44.02607511226396</v>
      </c>
      <c r="V127" s="241">
        <f>100/'Berechnung-WÜ-Material'!$BF$112*'Daten-Materialien'!T127</f>
        <v>72.667403476906543</v>
      </c>
      <c r="W127" s="241">
        <f t="shared" ref="W127:W130" si="21">RANK(V127,$V$2:$V$238)</f>
        <v>107</v>
      </c>
      <c r="Y127" s="241">
        <f t="shared" si="17"/>
        <v>1</v>
      </c>
      <c r="AB127" s="241" t="s">
        <v>811</v>
      </c>
      <c r="AD127" s="370"/>
      <c r="AF127" s="241" t="s">
        <v>1013</v>
      </c>
    </row>
    <row r="128" spans="1:35" s="241" customFormat="1" ht="15.75" x14ac:dyDescent="0.25">
      <c r="B128" s="409" t="s">
        <v>702</v>
      </c>
      <c r="D128" s="241">
        <v>0.217</v>
      </c>
      <c r="E128" s="241">
        <f t="shared" si="15"/>
        <v>0.217</v>
      </c>
      <c r="G128" s="339">
        <v>115</v>
      </c>
      <c r="H128" s="241">
        <v>122</v>
      </c>
      <c r="J128" s="340">
        <v>27</v>
      </c>
      <c r="K128" s="241">
        <v>11.06</v>
      </c>
      <c r="L128" s="241">
        <v>0</v>
      </c>
      <c r="Q128" s="241">
        <f>IF(H128&lt;60,'Berechnung-WÜ-Material'!$AL$110,IF(AND(H128&gt;=60,H128&lt;80),'Berechnung-WÜ-Material'!$AM$110,IF(AND('Daten-Materialien'!H128&gt;=80,'Daten-Materialien'!H128&lt;100),'Berechnung-WÜ-Material'!$AN$110,IF(AND(H128&gt;=100,H128&lt;120),'Berechnung-WÜ-Material'!$AO$110,IF(AND('Daten-Materialien'!H128&gt;=120,'Daten-Materialien'!H128&lt;140),'Berechnung-WÜ-Material'!$AP$110,IF('Daten-Materialien'!H128&gt;140,'Berechnung-WÜ-Material'!$AQ$110,"FEHLER"))))))</f>
        <v>2.7550019539188941</v>
      </c>
      <c r="R128" s="241">
        <f>IF(E128&lt;0.1,'Berechnung-WÜ-Material'!$AS$110,IF(AND(E128&gt;=0.1,E128&lt;0.3),'Berechnung-WÜ-Material'!$AT$110,IF(AND('Daten-Materialien'!E128&gt;=0.3,'Daten-Materialien'!E128&lt;0.6),'Berechnung-WÜ-Material'!$AU$110,IF(AND(E128&gt;=0.6,E128&lt;1),'Berechnung-WÜ-Material'!$AV$110,IF(AND('Daten-Materialien'!E128&gt;=1,'Daten-Materialien'!E128&lt;1.5),'Berechnung-WÜ-Material'!$AW$110,IF('Daten-Materialien'!E128&gt;1.5,'Berechnung-WÜ-Material'!$AX$110,"FEHLER"))))))</f>
        <v>8.1415883793382715</v>
      </c>
      <c r="S128" s="241">
        <f>IF(K128&lt;15,'Berechnung-WÜ-Material'!$AZ$110,IF(AND(K128&gt;=15,K128&lt;30),'Berechnung-WÜ-Material'!$BA$110,IF(AND('Daten-Materialien'!K128&gt;=30,'Daten-Materialien'!K128&lt;45),'Berechnung-WÜ-Material'!$BB$110,IF(AND(K128&gt;=45,K128&lt;60),'Berechnung-WÜ-Material'!$BC$110,IF(AND('Daten-Materialien'!K128&gt;=60,'Daten-Materialien'!K128&lt;75),'Berechnung-WÜ-Material'!$BD$110,IF('Daten-Materialien'!K128&gt;75,'Berechnung-WÜ-Material'!$BE$110,"FEHLER"))))))</f>
        <v>3.4607748084549512</v>
      </c>
      <c r="T128" s="241">
        <f>SUM(Q128:S128)+(L128*3*'Berechnung-WÜ-Material'!$G$22)</f>
        <v>14.357365141712117</v>
      </c>
      <c r="U128" s="241">
        <f t="shared" si="20"/>
        <v>42.064315343928655</v>
      </c>
      <c r="V128" s="241">
        <f>100/'Berechnung-WÜ-Material'!$BF$112*'Daten-Materialien'!T128</f>
        <v>70.081925356335546</v>
      </c>
      <c r="W128" s="241">
        <f t="shared" si="21"/>
        <v>112</v>
      </c>
      <c r="Y128" s="241">
        <f t="shared" si="17"/>
        <v>1</v>
      </c>
      <c r="AB128" s="241" t="s">
        <v>812</v>
      </c>
      <c r="AD128" s="241" t="s">
        <v>992</v>
      </c>
      <c r="AF128" s="386" t="s">
        <v>1014</v>
      </c>
    </row>
    <row r="129" spans="1:35" s="241" customFormat="1" ht="15.75" x14ac:dyDescent="0.25">
      <c r="B129" s="409" t="s">
        <v>703</v>
      </c>
      <c r="D129" s="241">
        <v>0.439</v>
      </c>
      <c r="E129" s="241">
        <v>0.26</v>
      </c>
      <c r="G129" s="339">
        <v>70</v>
      </c>
      <c r="H129" s="241">
        <v>70</v>
      </c>
      <c r="I129" s="241">
        <v>28</v>
      </c>
      <c r="J129" s="241">
        <v>33</v>
      </c>
      <c r="K129" s="241">
        <v>42.32</v>
      </c>
      <c r="L129" s="241">
        <v>0</v>
      </c>
      <c r="Q129" s="241">
        <f>IF(H129&lt;60,'Berechnung-WÜ-Material'!$AL$110,IF(AND(H129&gt;=60,H129&lt;80),'Berechnung-WÜ-Material'!$AM$110,IF(AND('Daten-Materialien'!H129&gt;=80,'Daten-Materialien'!H129&lt;100),'Berechnung-WÜ-Material'!$AN$110,IF(AND(H129&gt;=100,H129&lt;120),'Berechnung-WÜ-Material'!$AO$110,IF(AND('Daten-Materialien'!H129&gt;=120,'Daten-Materialien'!H129&lt;140),'Berechnung-WÜ-Material'!$AP$110,IF('Daten-Materialien'!H129&gt;140,'Berechnung-WÜ-Material'!$AQ$110,"FEHLER"))))))</f>
        <v>1.4830749679207913</v>
      </c>
      <c r="R129" s="241">
        <f>IF(E129&lt;0.1,'Berechnung-WÜ-Material'!$AS$110,IF(AND(E129&gt;=0.1,E129&lt;0.3),'Berechnung-WÜ-Material'!$AT$110,IF(AND('Daten-Materialien'!E129&gt;=0.3,'Daten-Materialien'!E129&lt;0.6),'Berechnung-WÜ-Material'!$AU$110,IF(AND(E129&gt;=0.6,E129&lt;1),'Berechnung-WÜ-Material'!$AV$110,IF(AND('Daten-Materialien'!E129&gt;=1,'Daten-Materialien'!E129&lt;1.5),'Berechnung-WÜ-Material'!$AW$110,IF('Daten-Materialien'!E129&gt;1.5,'Berechnung-WÜ-Material'!$AX$110,"FEHLER"))))))</f>
        <v>8.1415883793382715</v>
      </c>
      <c r="S129" s="241">
        <f>IF(K129&lt;15,'Berechnung-WÜ-Material'!$AZ$110,IF(AND(K129&gt;=15,K129&lt;30),'Berechnung-WÜ-Material'!$BA$110,IF(AND('Daten-Materialien'!K129&gt;=30,'Daten-Materialien'!K129&lt;45),'Berechnung-WÜ-Material'!$BB$110,IF(AND(K129&gt;=45,K129&lt;60),'Berechnung-WÜ-Material'!$BC$110,IF(AND('Daten-Materialien'!K129&gt;=60,'Daten-Materialien'!K129&lt;75),'Berechnung-WÜ-Material'!$BD$110,IF('Daten-Materialien'!K129&gt;75,'Berechnung-WÜ-Material'!$BE$110,"FEHLER"))))))</f>
        <v>5.9436257603083487</v>
      </c>
      <c r="T129" s="241">
        <f>SUM(Q129:S129)+(L129*3*'Berechnung-WÜ-Material'!$G$22)</f>
        <v>15.568289107567411</v>
      </c>
      <c r="U129" s="241">
        <f t="shared" si="20"/>
        <v>46.549218921529274</v>
      </c>
      <c r="V129" s="241">
        <f>100/'Berechnung-WÜ-Material'!$BF$112*'Daten-Materialien'!T129</f>
        <v>75.99275106492712</v>
      </c>
      <c r="W129" s="241">
        <f t="shared" si="21"/>
        <v>80</v>
      </c>
      <c r="Y129" s="241">
        <f t="shared" si="17"/>
        <v>1</v>
      </c>
      <c r="AB129" s="241" t="s">
        <v>893</v>
      </c>
      <c r="AD129" s="241" t="s">
        <v>992</v>
      </c>
      <c r="AF129" s="386" t="s">
        <v>1015</v>
      </c>
    </row>
    <row r="130" spans="1:35" s="241" customFormat="1" ht="15" x14ac:dyDescent="0.25">
      <c r="B130" s="409" t="s">
        <v>1013</v>
      </c>
      <c r="E130" s="241">
        <f>AVERAGE(0.021,0.022,0.022,0.022,0.023)</f>
        <v>2.1999999999999999E-2</v>
      </c>
      <c r="G130" s="339"/>
      <c r="H130" s="241">
        <v>68</v>
      </c>
      <c r="K130" s="241">
        <v>30.04</v>
      </c>
      <c r="L130" s="241">
        <v>0</v>
      </c>
      <c r="Q130" s="241">
        <f>IF(H130&lt;60,'Berechnung-WÜ-Material'!$AL$110,IF(AND(H130&gt;=60,H130&lt;80),'Berechnung-WÜ-Material'!$AM$110,IF(AND('Daten-Materialien'!H130&gt;=80,'Daten-Materialien'!H130&lt;100),'Berechnung-WÜ-Material'!$AN$110,IF(AND(H130&gt;=100,H130&lt;120),'Berechnung-WÜ-Material'!$AO$110,IF(AND('Daten-Materialien'!H130&gt;=120,'Daten-Materialien'!H130&lt;140),'Berechnung-WÜ-Material'!$AP$110,IF('Daten-Materialien'!H130&gt;140,'Berechnung-WÜ-Material'!$AQ$110,"FEHLER"))))))</f>
        <v>1.4830749679207913</v>
      </c>
      <c r="R130" s="241">
        <f>IF(E130&lt;0.1,'Berechnung-WÜ-Material'!$AS$110,IF(AND(E130&gt;=0.1,E130&lt;0.3),'Berechnung-WÜ-Material'!$AT$110,IF(AND('Daten-Materialien'!E130&gt;=0.3,'Daten-Materialien'!E130&lt;0.6),'Berechnung-WÜ-Material'!$AU$110,IF(AND(E130&gt;=0.6,E130&lt;1),'Berechnung-WÜ-Material'!$AV$110,IF(AND('Daten-Materialien'!E130&gt;=1,'Daten-Materialien'!E130&lt;1.5),'Berechnung-WÜ-Material'!$AW$110,IF('Daten-Materialien'!E130&gt;1.5,'Berechnung-WÜ-Material'!$AX$110,"FEHLER"))))))</f>
        <v>5.4090960472347849</v>
      </c>
      <c r="S130" s="241">
        <f>IF(K130&lt;15,'Berechnung-WÜ-Material'!$AZ$110,IF(AND(K130&gt;=15,K130&lt;30),'Berechnung-WÜ-Material'!$BA$110,IF(AND('Daten-Materialien'!K130&gt;=30,'Daten-Materialien'!K130&lt;45),'Berechnung-WÜ-Material'!$BB$110,IF(AND(K130&gt;=45,K130&lt;60),'Berechnung-WÜ-Material'!$BC$110,IF(AND('Daten-Materialien'!K130&gt;=60,'Daten-Materialien'!K130&lt;75),'Berechnung-WÜ-Material'!$BD$110,IF('Daten-Materialien'!K130&gt;75,'Berechnung-WÜ-Material'!$BE$110,"FEHLER"))))))</f>
        <v>5.9436257603083487</v>
      </c>
      <c r="T130" s="241">
        <f>SUM(Q130:S130)+(L130*3*'Berechnung-WÜ-Material'!$G$22)</f>
        <v>12.835796775463924</v>
      </c>
      <c r="U130" s="241">
        <f t="shared" si="20"/>
        <v>36.428876949965996</v>
      </c>
      <c r="V130" s="241">
        <f>100/'Berechnung-WÜ-Material'!$BF$112*'Daten-Materialien'!T130</f>
        <v>62.65476587300077</v>
      </c>
      <c r="W130" s="241">
        <f t="shared" si="21"/>
        <v>169</v>
      </c>
      <c r="Y130" s="241">
        <f t="shared" si="17"/>
        <v>1</v>
      </c>
      <c r="AB130" s="241" t="s">
        <v>821</v>
      </c>
      <c r="AD130" s="370"/>
      <c r="AF130" s="241" t="s">
        <v>1016</v>
      </c>
    </row>
    <row r="131" spans="1:35" ht="15.75" x14ac:dyDescent="0.25">
      <c r="A131" s="241" t="str">
        <f t="shared" si="14"/>
        <v/>
      </c>
      <c r="B131" s="411" t="s">
        <v>1014</v>
      </c>
      <c r="G131" s="339"/>
      <c r="L131" s="241">
        <v>0</v>
      </c>
      <c r="Q131" s="241">
        <f>IF(H131&lt;60,'Berechnung-WÜ-Material'!$AL$110,IF(AND(H131&gt;=60,H131&lt;80),'Berechnung-WÜ-Material'!$AM$110,IF(AND('Daten-Materialien'!H131&gt;=80,'Daten-Materialien'!H131&lt;100),'Berechnung-WÜ-Material'!$AN$110,IF(AND(H131&gt;=100,H131&lt;120),'Berechnung-WÜ-Material'!$AO$110,IF(AND('Daten-Materialien'!H131&gt;=120,'Daten-Materialien'!H131&lt;140),'Berechnung-WÜ-Material'!$AP$110,IF('Daten-Materialien'!H131&gt;140,'Berechnung-WÜ-Material'!$AQ$110,"FEHLER"))))))</f>
        <v>2.2063369805171464</v>
      </c>
      <c r="R131" s="241">
        <f>IF(E131&lt;0.1,'Berechnung-WÜ-Material'!$AS$110,IF(AND(E131&gt;=0.1,E131&lt;0.3),'Berechnung-WÜ-Material'!$AT$110,IF(AND('Daten-Materialien'!E131&gt;=0.3,'Daten-Materialien'!E131&lt;0.6),'Berechnung-WÜ-Material'!$AU$110,IF(AND(E131&gt;=0.6,E131&lt;1),'Berechnung-WÜ-Material'!$AV$110,IF(AND('Daten-Materialien'!E131&gt;=1,'Daten-Materialien'!E131&lt;1.5),'Berechnung-WÜ-Material'!$AW$110,IF('Daten-Materialien'!E131&gt;1.5,'Berechnung-WÜ-Material'!$AX$110,"FEHLER"))))))</f>
        <v>5.4090960472347849</v>
      </c>
      <c r="S131" s="241">
        <f>IF(K131&lt;15,'Berechnung-WÜ-Material'!$AZ$110,IF(AND(K131&gt;=15,K131&lt;30),'Berechnung-WÜ-Material'!$BA$110,IF(AND('Daten-Materialien'!K131&gt;=30,'Daten-Materialien'!K131&lt;45),'Berechnung-WÜ-Material'!$BB$110,IF(AND(K131&gt;=45,K131&lt;60),'Berechnung-WÜ-Material'!$BC$110,IF(AND('Daten-Materialien'!K131&gt;=60,'Daten-Materialien'!K131&lt;75),'Berechnung-WÜ-Material'!$BD$110,IF('Daten-Materialien'!K131&gt;75,'Berechnung-WÜ-Material'!$BE$110,"FEHLER"))))))</f>
        <v>3.4607748084549512</v>
      </c>
      <c r="T131" s="241">
        <f>SUM(Q131:S131)+(L131*3*'Berechnung-WÜ-Material'!$G$22)</f>
        <v>11.076207836206883</v>
      </c>
      <c r="U131" s="241">
        <f t="shared" si="12"/>
        <v>29.911880878122261</v>
      </c>
      <c r="V131" s="241">
        <f>100/'Berechnung-WÜ-Material'!$BF$112*'Daten-Materialien'!T131</f>
        <v>54.06576785827589</v>
      </c>
      <c r="W131" s="241">
        <f t="shared" ref="W131:W162" si="22">RANK(V131,$V$2:$V$238)</f>
        <v>206</v>
      </c>
      <c r="X131" s="241" t="str">
        <f t="shared" si="16"/>
        <v/>
      </c>
      <c r="Y131" s="241">
        <f t="shared" si="17"/>
        <v>1</v>
      </c>
      <c r="Z131" s="241" t="str">
        <f t="shared" si="18"/>
        <v/>
      </c>
      <c r="AB131" s="241" t="s">
        <v>781</v>
      </c>
      <c r="AD131" t="s">
        <v>994</v>
      </c>
      <c r="AF131" s="241" t="s">
        <v>701</v>
      </c>
      <c r="AI131">
        <f>45/20</f>
        <v>2.25</v>
      </c>
    </row>
    <row r="132" spans="1:35" ht="15.75" x14ac:dyDescent="0.25">
      <c r="A132" s="241" t="str">
        <f t="shared" si="14"/>
        <v/>
      </c>
      <c r="B132" s="411" t="s">
        <v>1015</v>
      </c>
      <c r="G132" s="339"/>
      <c r="L132" s="241">
        <v>0</v>
      </c>
      <c r="Q132" s="241">
        <f>IF(H132&lt;60,'Berechnung-WÜ-Material'!$AL$110,IF(AND(H132&gt;=60,H132&lt;80),'Berechnung-WÜ-Material'!$AM$110,IF(AND('Daten-Materialien'!H132&gt;=80,'Daten-Materialien'!H132&lt;100),'Berechnung-WÜ-Material'!$AN$110,IF(AND(H132&gt;=100,H132&lt;120),'Berechnung-WÜ-Material'!$AO$110,IF(AND('Daten-Materialien'!H132&gt;=120,'Daten-Materialien'!H132&lt;140),'Berechnung-WÜ-Material'!$AP$110,IF('Daten-Materialien'!H132&gt;140,'Berechnung-WÜ-Material'!$AQ$110,"FEHLER"))))))</f>
        <v>2.2063369805171464</v>
      </c>
      <c r="R132" s="241">
        <f>IF(E132&lt;0.1,'Berechnung-WÜ-Material'!$AS$110,IF(AND(E132&gt;=0.1,E132&lt;0.3),'Berechnung-WÜ-Material'!$AT$110,IF(AND('Daten-Materialien'!E132&gt;=0.3,'Daten-Materialien'!E132&lt;0.6),'Berechnung-WÜ-Material'!$AU$110,IF(AND(E132&gt;=0.6,E132&lt;1),'Berechnung-WÜ-Material'!$AV$110,IF(AND('Daten-Materialien'!E132&gt;=1,'Daten-Materialien'!E132&lt;1.5),'Berechnung-WÜ-Material'!$AW$110,IF('Daten-Materialien'!E132&gt;1.5,'Berechnung-WÜ-Material'!$AX$110,"FEHLER"))))))</f>
        <v>5.4090960472347849</v>
      </c>
      <c r="S132" s="241">
        <f>IF(K132&lt;15,'Berechnung-WÜ-Material'!$AZ$110,IF(AND(K132&gt;=15,K132&lt;30),'Berechnung-WÜ-Material'!$BA$110,IF(AND('Daten-Materialien'!K132&gt;=30,'Daten-Materialien'!K132&lt;45),'Berechnung-WÜ-Material'!$BB$110,IF(AND(K132&gt;=45,K132&lt;60),'Berechnung-WÜ-Material'!$BC$110,IF(AND('Daten-Materialien'!K132&gt;=60,'Daten-Materialien'!K132&lt;75),'Berechnung-WÜ-Material'!$BD$110,IF('Daten-Materialien'!K132&gt;75,'Berechnung-WÜ-Material'!$BE$110,"FEHLER"))))))</f>
        <v>3.4607748084549512</v>
      </c>
      <c r="T132" s="241">
        <f>SUM(Q132:S132)+(L132*3*'Berechnung-WÜ-Material'!$G$22)</f>
        <v>11.076207836206883</v>
      </c>
      <c r="U132" s="241">
        <f t="shared" si="12"/>
        <v>29.911880878122261</v>
      </c>
      <c r="V132" s="241">
        <f>100/'Berechnung-WÜ-Material'!$BF$112*'Daten-Materialien'!T132</f>
        <v>54.06576785827589</v>
      </c>
      <c r="W132" s="241">
        <f t="shared" si="22"/>
        <v>206</v>
      </c>
      <c r="X132" s="241" t="str">
        <f t="shared" si="16"/>
        <v/>
      </c>
      <c r="Y132" s="241">
        <f t="shared" si="17"/>
        <v>1</v>
      </c>
      <c r="Z132" s="241" t="str">
        <f t="shared" si="18"/>
        <v/>
      </c>
      <c r="AB132" s="241" t="s">
        <v>782</v>
      </c>
      <c r="AD132" t="s">
        <v>996</v>
      </c>
      <c r="AF132" s="241" t="s">
        <v>702</v>
      </c>
      <c r="AI132">
        <f>36.95/80</f>
        <v>0.46187500000000004</v>
      </c>
    </row>
    <row r="133" spans="1:35" ht="15" x14ac:dyDescent="0.25">
      <c r="A133" s="241" t="str">
        <f t="shared" si="14"/>
        <v/>
      </c>
      <c r="B133" s="409" t="s">
        <v>1016</v>
      </c>
      <c r="E133" s="241">
        <f>AVERAGE(0.021,0.022,0.021,0.021,0.02)</f>
        <v>2.1000000000000001E-2</v>
      </c>
      <c r="G133" s="339"/>
      <c r="H133" s="241">
        <v>81</v>
      </c>
      <c r="K133" s="241">
        <v>35.700000000000003</v>
      </c>
      <c r="L133" s="241">
        <v>0</v>
      </c>
      <c r="Q133" s="241">
        <f>IF(H133&lt;60,'Berechnung-WÜ-Material'!$AL$110,IF(AND(H133&gt;=60,H133&lt;80),'Berechnung-WÜ-Material'!$AM$110,IF(AND('Daten-Materialien'!H133&gt;=80,'Daten-Materialien'!H133&lt;100),'Berechnung-WÜ-Material'!$AN$110,IF(AND(H133&gt;=100,H133&lt;120),'Berechnung-WÜ-Material'!$AO$110,IF(AND('Daten-Materialien'!H133&gt;=120,'Daten-Materialien'!H133&lt;140),'Berechnung-WÜ-Material'!$AP$110,IF('Daten-Materialien'!H133&gt;140,'Berechnung-WÜ-Material'!$AQ$110,"FEHLER"))))))</f>
        <v>2.9517194566014666</v>
      </c>
      <c r="R133" s="241">
        <f>IF(E133&lt;0.1,'Berechnung-WÜ-Material'!$AS$110,IF(AND(E133&gt;=0.1,E133&lt;0.3),'Berechnung-WÜ-Material'!$AT$110,IF(AND('Daten-Materialien'!E133&gt;=0.3,'Daten-Materialien'!E133&lt;0.6),'Berechnung-WÜ-Material'!$AU$110,IF(AND(E133&gt;=0.6,E133&lt;1),'Berechnung-WÜ-Material'!$AV$110,IF(AND('Daten-Materialien'!E133&gt;=1,'Daten-Materialien'!E133&lt;1.5),'Berechnung-WÜ-Material'!$AW$110,IF('Daten-Materialien'!E133&gt;1.5,'Berechnung-WÜ-Material'!$AX$110,"FEHLER"))))))</f>
        <v>5.4090960472347849</v>
      </c>
      <c r="S133" s="241">
        <f>IF(K133&lt;15,'Berechnung-WÜ-Material'!$AZ$110,IF(AND(K133&gt;=15,K133&lt;30),'Berechnung-WÜ-Material'!$BA$110,IF(AND('Daten-Materialien'!K133&gt;=30,'Daten-Materialien'!K133&lt;45),'Berechnung-WÜ-Material'!$BB$110,IF(AND(K133&gt;=45,K133&lt;60),'Berechnung-WÜ-Material'!$BC$110,IF(AND('Daten-Materialien'!K133&gt;=60,'Daten-Materialien'!K133&lt;75),'Berechnung-WÜ-Material'!$BD$110,IF('Daten-Materialien'!K133&gt;75,'Berechnung-WÜ-Material'!$BE$110,"FEHLER"))))))</f>
        <v>5.9436257603083487</v>
      </c>
      <c r="T133" s="241">
        <f>SUM(Q133:S133)+(L133*3*'Berechnung-WÜ-Material'!$G$22)</f>
        <v>14.3044412641446</v>
      </c>
      <c r="U133" s="241">
        <f t="shared" si="12"/>
        <v>41.868300982551801</v>
      </c>
      <c r="V133" s="241">
        <f>100/'Berechnung-WÜ-Material'!$BF$112*'Daten-Materialien'!T133</f>
        <v>69.82359054346108</v>
      </c>
      <c r="W133" s="241">
        <f t="shared" si="22"/>
        <v>115</v>
      </c>
      <c r="X133" s="241" t="str">
        <f t="shared" si="16"/>
        <v/>
      </c>
      <c r="Y133" s="241">
        <f t="shared" si="17"/>
        <v>1</v>
      </c>
      <c r="Z133" s="241" t="str">
        <f t="shared" si="18"/>
        <v/>
      </c>
      <c r="AB133" s="241" t="s">
        <v>783</v>
      </c>
      <c r="AD133" s="370" t="s">
        <v>989</v>
      </c>
      <c r="AF133" s="241" t="s">
        <v>703</v>
      </c>
      <c r="AI133" s="241">
        <f>31.2/21.58</f>
        <v>1.4457831325301205</v>
      </c>
    </row>
    <row r="134" spans="1:35" ht="15" x14ac:dyDescent="0.25">
      <c r="A134" s="241" t="str">
        <f t="shared" si="14"/>
        <v/>
      </c>
      <c r="B134" s="410" t="s">
        <v>866</v>
      </c>
      <c r="D134" s="241">
        <v>0.4</v>
      </c>
      <c r="E134" s="241">
        <f t="shared" si="15"/>
        <v>0.4</v>
      </c>
      <c r="G134" s="339">
        <v>98</v>
      </c>
      <c r="H134" s="241">
        <f t="shared" ref="H134:H197" si="23">AVERAGE(F134:G134)</f>
        <v>98</v>
      </c>
      <c r="I134" s="241">
        <v>25</v>
      </c>
      <c r="J134" s="241">
        <v>27</v>
      </c>
      <c r="K134" s="241">
        <f t="shared" ref="K134:K197" si="24">AVERAGE(I134:J134)</f>
        <v>26</v>
      </c>
      <c r="L134" s="241">
        <v>0</v>
      </c>
      <c r="Q134" s="241">
        <f>IF(H134&lt;60,'Berechnung-WÜ-Material'!$AL$110,IF(AND(H134&gt;=60,H134&lt;80),'Berechnung-WÜ-Material'!$AM$110,IF(AND('Daten-Materialien'!H134&gt;=80,'Daten-Materialien'!H134&lt;100),'Berechnung-WÜ-Material'!$AN$110,IF(AND(H134&gt;=100,H134&lt;120),'Berechnung-WÜ-Material'!$AO$110,IF(AND('Daten-Materialien'!H134&gt;=120,'Daten-Materialien'!H134&lt;140),'Berechnung-WÜ-Material'!$AP$110,IF('Daten-Materialien'!H134&gt;140,'Berechnung-WÜ-Material'!$AQ$110,"FEHLER"))))))</f>
        <v>2.9517194566014666</v>
      </c>
      <c r="R134" s="241">
        <f>IF(E134&lt;0.1,'Berechnung-WÜ-Material'!$AS$110,IF(AND(E134&gt;=0.1,E134&lt;0.3),'Berechnung-WÜ-Material'!$AT$110,IF(AND('Daten-Materialien'!E134&gt;=0.3,'Daten-Materialien'!E134&lt;0.6),'Berechnung-WÜ-Material'!$AU$110,IF(AND(E134&gt;=0.6,E134&lt;1),'Berechnung-WÜ-Material'!$AV$110,IF(AND('Daten-Materialien'!E134&gt;=1,'Daten-Materialien'!E134&lt;1.5),'Berechnung-WÜ-Material'!$AW$110,IF('Daten-Materialien'!E134&gt;1.5,'Berechnung-WÜ-Material'!$AX$110,"FEHLER"))))))</f>
        <v>7.4603395508911365</v>
      </c>
      <c r="S134" s="241">
        <f>IF(K134&lt;15,'Berechnung-WÜ-Material'!$AZ$110,IF(AND(K134&gt;=15,K134&lt;30),'Berechnung-WÜ-Material'!$BA$110,IF(AND('Daten-Materialien'!K134&gt;=30,'Daten-Materialien'!K134&lt;45),'Berechnung-WÜ-Material'!$BB$110,IF(AND(K134&gt;=45,K134&lt;60),'Berechnung-WÜ-Material'!$BC$110,IF(AND('Daten-Materialien'!K134&gt;=60,'Daten-Materialien'!K134&lt;75),'Berechnung-WÜ-Material'!$BD$110,IF('Daten-Materialien'!K134&gt;75,'Berechnung-WÜ-Material'!$BE$110,"FEHLER"))))))</f>
        <v>5.3164008462907759</v>
      </c>
      <c r="T134" s="241">
        <f>SUM(Q134:S134)+(L134*3*'Berechnung-WÜ-Material'!$G$22)</f>
        <v>15.728459853783379</v>
      </c>
      <c r="U134" s="241">
        <f t="shared" ref="U134:U197" si="25">3.703703704*T134-11.111111111111</f>
        <v>47.142443907561798</v>
      </c>
      <c r="V134" s="241">
        <f>100/'Berechnung-WÜ-Material'!$BF$112*'Daten-Materialien'!T134</f>
        <v>76.774584929969961</v>
      </c>
      <c r="W134" s="241">
        <f t="shared" si="22"/>
        <v>65</v>
      </c>
      <c r="X134" s="241" t="str">
        <f t="shared" si="16"/>
        <v/>
      </c>
      <c r="Y134" s="241">
        <f t="shared" si="17"/>
        <v>1</v>
      </c>
      <c r="Z134" s="241" t="str">
        <f t="shared" si="18"/>
        <v/>
      </c>
      <c r="AB134" s="241" t="s">
        <v>784</v>
      </c>
      <c r="AD134" s="370" t="s">
        <v>985</v>
      </c>
      <c r="AF134" s="235" t="s">
        <v>866</v>
      </c>
      <c r="AI134">
        <f>35.18/21.58</f>
        <v>1.6302131603336423</v>
      </c>
    </row>
    <row r="135" spans="1:35" ht="15" x14ac:dyDescent="0.25">
      <c r="A135" s="241" t="str">
        <f t="shared" ref="A135:A198" si="26">Z135</f>
        <v/>
      </c>
      <c r="B135" s="410" t="s">
        <v>867</v>
      </c>
      <c r="D135" s="241">
        <v>0.5</v>
      </c>
      <c r="E135" s="241">
        <f t="shared" ref="E135:E198" si="27">AVERAGE(C135:D135)</f>
        <v>0.5</v>
      </c>
      <c r="G135" s="339">
        <v>100</v>
      </c>
      <c r="H135" s="241">
        <f t="shared" si="23"/>
        <v>100</v>
      </c>
      <c r="I135" s="241">
        <v>26</v>
      </c>
      <c r="J135" s="241">
        <v>31</v>
      </c>
      <c r="K135" s="241">
        <f t="shared" si="24"/>
        <v>28.5</v>
      </c>
      <c r="L135" s="241">
        <v>0</v>
      </c>
      <c r="Q135" s="241">
        <f>IF(H135&lt;60,'Berechnung-WÜ-Material'!$AL$110,IF(AND(H135&gt;=60,H135&lt;80),'Berechnung-WÜ-Material'!$AM$110,IF(AND('Daten-Materialien'!H135&gt;=80,'Daten-Materialien'!H135&lt;100),'Berechnung-WÜ-Material'!$AN$110,IF(AND(H135&gt;=100,H135&lt;120),'Berechnung-WÜ-Material'!$AO$110,IF(AND('Daten-Materialien'!H135&gt;=120,'Daten-Materialien'!H135&lt;140),'Berechnung-WÜ-Material'!$AP$110,IF('Daten-Materialien'!H135&gt;140,'Berechnung-WÜ-Material'!$AQ$110,"FEHLER"))))))</f>
        <v>3.4064092551223228</v>
      </c>
      <c r="R135" s="241">
        <f>IF(E135&lt;0.1,'Berechnung-WÜ-Material'!$AS$110,IF(AND(E135&gt;=0.1,E135&lt;0.3),'Berechnung-WÜ-Material'!$AT$110,IF(AND('Daten-Materialien'!E135&gt;=0.3,'Daten-Materialien'!E135&lt;0.6),'Berechnung-WÜ-Material'!$AU$110,IF(AND(E135&gt;=0.6,E135&lt;1),'Berechnung-WÜ-Material'!$AV$110,IF(AND('Daten-Materialien'!E135&gt;=1,'Daten-Materialien'!E135&lt;1.5),'Berechnung-WÜ-Material'!$AW$110,IF('Daten-Materialien'!E135&gt;1.5,'Berechnung-WÜ-Material'!$AX$110,"FEHLER"))))))</f>
        <v>7.4603395508911365</v>
      </c>
      <c r="S135" s="241">
        <f>IF(K135&lt;15,'Berechnung-WÜ-Material'!$AZ$110,IF(AND(K135&gt;=15,K135&lt;30),'Berechnung-WÜ-Material'!$BA$110,IF(AND('Daten-Materialien'!K135&gt;=30,'Daten-Materialien'!K135&lt;45),'Berechnung-WÜ-Material'!$BB$110,IF(AND(K135&gt;=45,K135&lt;60),'Berechnung-WÜ-Material'!$BC$110,IF(AND('Daten-Materialien'!K135&gt;=60,'Daten-Materialien'!K135&lt;75),'Berechnung-WÜ-Material'!$BD$110,IF('Daten-Materialien'!K135&gt;75,'Berechnung-WÜ-Material'!$BE$110,"FEHLER"))))))</f>
        <v>5.3164008462907759</v>
      </c>
      <c r="T135" s="241">
        <f>SUM(Q135:S135)+(L135*3*'Berechnung-WÜ-Material'!$G$22)</f>
        <v>16.183149652304238</v>
      </c>
      <c r="U135" s="241">
        <f t="shared" si="25"/>
        <v>48.826480198514517</v>
      </c>
      <c r="V135" s="241">
        <f>100/'Berechnung-WÜ-Material'!$BF$112*'Daten-Materialien'!T135</f>
        <v>78.994040673116572</v>
      </c>
      <c r="W135" s="241">
        <f t="shared" si="22"/>
        <v>61</v>
      </c>
      <c r="X135" s="241" t="str">
        <f t="shared" ref="X135:X198" si="28">IF(W135=1,1,IF(W135=2,1,IF(W135=3,1,"")))</f>
        <v/>
      </c>
      <c r="Y135" s="241">
        <f t="shared" ref="Y135:Y198" si="29">IF(X135=1,1+Y134,Y134)</f>
        <v>1</v>
      </c>
      <c r="Z135" s="241" t="str">
        <f t="shared" ref="Z135:Z198" si="30">IF(X135=1,Y135,"")</f>
        <v/>
      </c>
      <c r="AB135" s="241" t="s">
        <v>785</v>
      </c>
      <c r="AD135" s="370" t="s">
        <v>986</v>
      </c>
      <c r="AF135" s="235" t="s">
        <v>867</v>
      </c>
      <c r="AI135" s="241">
        <f>31.76/21.58</f>
        <v>1.4717330861909177</v>
      </c>
    </row>
    <row r="136" spans="1:35" ht="15" x14ac:dyDescent="0.25">
      <c r="A136" s="241" t="str">
        <f t="shared" si="26"/>
        <v/>
      </c>
      <c r="B136" s="410" t="s">
        <v>868</v>
      </c>
      <c r="D136" s="241">
        <v>0.5</v>
      </c>
      <c r="E136" s="241">
        <f t="shared" si="27"/>
        <v>0.5</v>
      </c>
      <c r="G136" s="339">
        <v>105</v>
      </c>
      <c r="H136" s="241">
        <f t="shared" si="23"/>
        <v>105</v>
      </c>
      <c r="I136" s="241">
        <v>25</v>
      </c>
      <c r="J136" s="241">
        <v>27</v>
      </c>
      <c r="K136" s="241">
        <f t="shared" si="24"/>
        <v>26</v>
      </c>
      <c r="L136" s="241">
        <v>0</v>
      </c>
      <c r="Q136" s="241">
        <f>IF(H136&lt;60,'Berechnung-WÜ-Material'!$AL$110,IF(AND(H136&gt;=60,H136&lt;80),'Berechnung-WÜ-Material'!$AM$110,IF(AND('Daten-Materialien'!H136&gt;=80,'Daten-Materialien'!H136&lt;100),'Berechnung-WÜ-Material'!$AN$110,IF(AND(H136&gt;=100,H136&lt;120),'Berechnung-WÜ-Material'!$AO$110,IF(AND('Daten-Materialien'!H136&gt;=120,'Daten-Materialien'!H136&lt;140),'Berechnung-WÜ-Material'!$AP$110,IF('Daten-Materialien'!H136&gt;140,'Berechnung-WÜ-Material'!$AQ$110,"FEHLER"))))))</f>
        <v>3.4064092551223228</v>
      </c>
      <c r="R136" s="241">
        <f>IF(E136&lt;0.1,'Berechnung-WÜ-Material'!$AS$110,IF(AND(E136&gt;=0.1,E136&lt;0.3),'Berechnung-WÜ-Material'!$AT$110,IF(AND('Daten-Materialien'!E136&gt;=0.3,'Daten-Materialien'!E136&lt;0.6),'Berechnung-WÜ-Material'!$AU$110,IF(AND(E136&gt;=0.6,E136&lt;1),'Berechnung-WÜ-Material'!$AV$110,IF(AND('Daten-Materialien'!E136&gt;=1,'Daten-Materialien'!E136&lt;1.5),'Berechnung-WÜ-Material'!$AW$110,IF('Daten-Materialien'!E136&gt;1.5,'Berechnung-WÜ-Material'!$AX$110,"FEHLER"))))))</f>
        <v>7.4603395508911365</v>
      </c>
      <c r="S136" s="241">
        <f>IF(K136&lt;15,'Berechnung-WÜ-Material'!$AZ$110,IF(AND(K136&gt;=15,K136&lt;30),'Berechnung-WÜ-Material'!$BA$110,IF(AND('Daten-Materialien'!K136&gt;=30,'Daten-Materialien'!K136&lt;45),'Berechnung-WÜ-Material'!$BB$110,IF(AND(K136&gt;=45,K136&lt;60),'Berechnung-WÜ-Material'!$BC$110,IF(AND('Daten-Materialien'!K136&gt;=60,'Daten-Materialien'!K136&lt;75),'Berechnung-WÜ-Material'!$BD$110,IF('Daten-Materialien'!K136&gt;75,'Berechnung-WÜ-Material'!$BE$110,"FEHLER"))))))</f>
        <v>5.3164008462907759</v>
      </c>
      <c r="T136" s="241">
        <f>SUM(Q136:S136)+(L136*3*'Berechnung-WÜ-Material'!$G$22)</f>
        <v>16.183149652304238</v>
      </c>
      <c r="U136" s="241">
        <f t="shared" si="25"/>
        <v>48.826480198514517</v>
      </c>
      <c r="V136" s="241">
        <f>100/'Berechnung-WÜ-Material'!$BF$112*'Daten-Materialien'!T136</f>
        <v>78.994040673116572</v>
      </c>
      <c r="W136" s="241">
        <f t="shared" si="22"/>
        <v>61</v>
      </c>
      <c r="X136" s="241" t="str">
        <f t="shared" si="28"/>
        <v/>
      </c>
      <c r="Y136" s="241">
        <f t="shared" si="29"/>
        <v>1</v>
      </c>
      <c r="Z136" s="241" t="str">
        <f t="shared" si="30"/>
        <v/>
      </c>
      <c r="AB136" s="241" t="s">
        <v>786</v>
      </c>
      <c r="AD136" s="370" t="s">
        <v>988</v>
      </c>
      <c r="AF136" s="235" t="s">
        <v>868</v>
      </c>
      <c r="AI136" s="241">
        <f>118.49/21.58</f>
        <v>5.4907321594068588</v>
      </c>
    </row>
    <row r="137" spans="1:35" ht="39" x14ac:dyDescent="0.25">
      <c r="A137" s="241" t="str">
        <f t="shared" si="26"/>
        <v/>
      </c>
      <c r="B137" s="241" t="s">
        <v>875</v>
      </c>
      <c r="D137" s="241">
        <v>0.47</v>
      </c>
      <c r="E137" s="241">
        <f t="shared" si="27"/>
        <v>0.47</v>
      </c>
      <c r="G137" s="339">
        <v>53.2</v>
      </c>
      <c r="H137" s="241">
        <f t="shared" si="23"/>
        <v>53.2</v>
      </c>
      <c r="I137" s="339"/>
      <c r="J137" s="339">
        <v>49.9</v>
      </c>
      <c r="K137" s="241">
        <f t="shared" si="24"/>
        <v>49.9</v>
      </c>
      <c r="L137" s="241">
        <v>0</v>
      </c>
      <c r="M137" s="241">
        <f>(220-120)/120*100</f>
        <v>83.333333333333343</v>
      </c>
      <c r="N137" s="130" t="s">
        <v>704</v>
      </c>
      <c r="O137" s="241" t="s">
        <v>705</v>
      </c>
      <c r="P137" s="130"/>
      <c r="Q137" s="241">
        <f>IF(H137&lt;60,'Berechnung-WÜ-Material'!$AL$110,IF(AND(H137&gt;=60,H137&lt;80),'Berechnung-WÜ-Material'!$AM$110,IF(AND('Daten-Materialien'!H137&gt;=80,'Daten-Materialien'!H137&lt;100),'Berechnung-WÜ-Material'!$AN$110,IF(AND(H137&gt;=100,H137&lt;120),'Berechnung-WÜ-Material'!$AO$110,IF(AND('Daten-Materialien'!H137&gt;=120,'Daten-Materialien'!H137&lt;140),'Berechnung-WÜ-Material'!$AP$110,IF('Daten-Materialien'!H137&gt;140,'Berechnung-WÜ-Material'!$AQ$110,"FEHLER"))))))</f>
        <v>2.2063369805171464</v>
      </c>
      <c r="R137" s="241">
        <f>IF(E137&lt;0.1,'Berechnung-WÜ-Material'!$AS$110,IF(AND(E137&gt;=0.1,E137&lt;0.3),'Berechnung-WÜ-Material'!$AT$110,IF(AND('Daten-Materialien'!E137&gt;=0.3,'Daten-Materialien'!E137&lt;0.6),'Berechnung-WÜ-Material'!$AU$110,IF(AND(E137&gt;=0.6,E137&lt;1),'Berechnung-WÜ-Material'!$AV$110,IF(AND('Daten-Materialien'!E137&gt;=1,'Daten-Materialien'!E137&lt;1.5),'Berechnung-WÜ-Material'!$AW$110,IF('Daten-Materialien'!E137&gt;1.5,'Berechnung-WÜ-Material'!$AX$110,"FEHLER"))))))</f>
        <v>7.4603395508911365</v>
      </c>
      <c r="S137" s="241">
        <f>IF(K137&lt;15,'Berechnung-WÜ-Material'!$AZ$110,IF(AND(K137&gt;=15,K137&lt;30),'Berechnung-WÜ-Material'!$BA$110,IF(AND('Daten-Materialien'!K137&gt;=30,'Daten-Materialien'!K137&lt;45),'Berechnung-WÜ-Material'!$BB$110,IF(AND(K137&gt;=45,K137&lt;60),'Berechnung-WÜ-Material'!$BC$110,IF(AND('Daten-Materialien'!K137&gt;=60,'Daten-Materialien'!K137&lt;75),'Berechnung-WÜ-Material'!$BD$110,IF('Daten-Materialien'!K137&gt;75,'Berechnung-WÜ-Material'!$BE$110,"FEHLER"))))))</f>
        <v>2.6681383364247617</v>
      </c>
      <c r="T137" s="241">
        <f>SUM(Q137:S137)+(L137*3*'Berechnung-WÜ-Material'!$G$22)</f>
        <v>12.334814867833046</v>
      </c>
      <c r="U137" s="241">
        <f t="shared" si="25"/>
        <v>34.573388403036525</v>
      </c>
      <c r="V137" s="241">
        <f>100/'Berechnung-WÜ-Material'!$BF$112*'Daten-Materialien'!T137</f>
        <v>60.20934665374179</v>
      </c>
      <c r="W137" s="241">
        <f t="shared" si="22"/>
        <v>188</v>
      </c>
      <c r="X137" s="241" t="str">
        <f t="shared" si="28"/>
        <v/>
      </c>
      <c r="Y137" s="241">
        <f t="shared" si="29"/>
        <v>1</v>
      </c>
      <c r="Z137" s="241" t="str">
        <f t="shared" si="30"/>
        <v/>
      </c>
      <c r="AB137" s="241" t="s">
        <v>787</v>
      </c>
    </row>
    <row r="138" spans="1:35" ht="51.75" x14ac:dyDescent="0.25">
      <c r="A138" s="241" t="str">
        <f t="shared" si="26"/>
        <v/>
      </c>
      <c r="B138" s="241" t="s">
        <v>869</v>
      </c>
      <c r="D138" s="241">
        <v>0.25</v>
      </c>
      <c r="E138" s="241">
        <f t="shared" si="27"/>
        <v>0.25</v>
      </c>
      <c r="G138" s="339">
        <v>80</v>
      </c>
      <c r="H138" s="241">
        <f t="shared" si="23"/>
        <v>80</v>
      </c>
      <c r="I138" s="339"/>
      <c r="J138" s="337">
        <v>50</v>
      </c>
      <c r="K138" s="241">
        <f t="shared" si="24"/>
        <v>50</v>
      </c>
      <c r="L138" s="241">
        <v>0</v>
      </c>
      <c r="M138" s="241">
        <v>100</v>
      </c>
      <c r="N138" s="130" t="s">
        <v>704</v>
      </c>
      <c r="O138" s="130" t="s">
        <v>706</v>
      </c>
      <c r="P138" s="130"/>
      <c r="Q138" s="241">
        <f>IF(H138&lt;60,'Berechnung-WÜ-Material'!$AL$110,IF(AND(H138&gt;=60,H138&lt;80),'Berechnung-WÜ-Material'!$AM$110,IF(AND('Daten-Materialien'!H138&gt;=80,'Daten-Materialien'!H138&lt;100),'Berechnung-WÜ-Material'!$AN$110,IF(AND(H138&gt;=100,H138&lt;120),'Berechnung-WÜ-Material'!$AO$110,IF(AND('Daten-Materialien'!H138&gt;=120,'Daten-Materialien'!H138&lt;140),'Berechnung-WÜ-Material'!$AP$110,IF('Daten-Materialien'!H138&gt;140,'Berechnung-WÜ-Material'!$AQ$110,"FEHLER"))))))</f>
        <v>2.9517194566014666</v>
      </c>
      <c r="R138" s="241">
        <f>IF(E138&lt;0.1,'Berechnung-WÜ-Material'!$AS$110,IF(AND(E138&gt;=0.1,E138&lt;0.3),'Berechnung-WÜ-Material'!$AT$110,IF(AND('Daten-Materialien'!E138&gt;=0.3,'Daten-Materialien'!E138&lt;0.6),'Berechnung-WÜ-Material'!$AU$110,IF(AND(E138&gt;=0.6,E138&lt;1),'Berechnung-WÜ-Material'!$AV$110,IF(AND('Daten-Materialien'!E138&gt;=1,'Daten-Materialien'!E138&lt;1.5),'Berechnung-WÜ-Material'!$AW$110,IF('Daten-Materialien'!E138&gt;1.5,'Berechnung-WÜ-Material'!$AX$110,"FEHLER"))))))</f>
        <v>8.1415883793382715</v>
      </c>
      <c r="S138" s="241">
        <f>IF(K138&lt;15,'Berechnung-WÜ-Material'!$AZ$110,IF(AND(K138&gt;=15,K138&lt;30),'Berechnung-WÜ-Material'!$BA$110,IF(AND('Daten-Materialien'!K138&gt;=30,'Daten-Materialien'!K138&lt;45),'Berechnung-WÜ-Material'!$BB$110,IF(AND(K138&gt;=45,K138&lt;60),'Berechnung-WÜ-Material'!$BC$110,IF(AND('Daten-Materialien'!K138&gt;=60,'Daten-Materialien'!K138&lt;75),'Berechnung-WÜ-Material'!$BD$110,IF('Daten-Materialien'!K138&gt;75,'Berechnung-WÜ-Material'!$BE$110,"FEHLER"))))))</f>
        <v>2.6681383364247617</v>
      </c>
      <c r="T138" s="241">
        <f>SUM(Q138:S138)+(L138*3*'Berechnung-WÜ-Material'!$G$22)</f>
        <v>13.761446172364501</v>
      </c>
      <c r="U138" s="241">
        <f t="shared" si="25"/>
        <v>39.857208049872021</v>
      </c>
      <c r="V138" s="241">
        <f>100/'Berechnung-WÜ-Material'!$BF$112*'Daten-Materialien'!T138</f>
        <v>67.173094361509726</v>
      </c>
      <c r="W138" s="241">
        <f t="shared" si="22"/>
        <v>137</v>
      </c>
      <c r="X138" s="241" t="str">
        <f t="shared" si="28"/>
        <v/>
      </c>
      <c r="Y138" s="241">
        <f t="shared" si="29"/>
        <v>1</v>
      </c>
      <c r="Z138" s="241" t="str">
        <f t="shared" si="30"/>
        <v/>
      </c>
      <c r="AB138" s="241" t="s">
        <v>687</v>
      </c>
    </row>
    <row r="139" spans="1:35" ht="51.75" x14ac:dyDescent="0.25">
      <c r="A139" s="241" t="str">
        <f t="shared" si="26"/>
        <v/>
      </c>
      <c r="B139" s="241" t="s">
        <v>870</v>
      </c>
      <c r="D139" s="241">
        <v>0.22</v>
      </c>
      <c r="E139" s="241">
        <f t="shared" si="27"/>
        <v>0.22</v>
      </c>
      <c r="G139" s="339">
        <v>75</v>
      </c>
      <c r="H139" s="241">
        <f t="shared" si="23"/>
        <v>75</v>
      </c>
      <c r="I139" s="339"/>
      <c r="J139" s="337">
        <v>49</v>
      </c>
      <c r="K139" s="241">
        <f t="shared" si="24"/>
        <v>49</v>
      </c>
      <c r="L139" s="241">
        <v>0</v>
      </c>
      <c r="M139" s="241">
        <f>(220-120)/120*100</f>
        <v>83.333333333333343</v>
      </c>
      <c r="N139" s="130" t="s">
        <v>704</v>
      </c>
      <c r="O139" s="130" t="s">
        <v>706</v>
      </c>
      <c r="P139" s="130"/>
      <c r="Q139" s="241">
        <f>IF(H139&lt;60,'Berechnung-WÜ-Material'!$AL$110,IF(AND(H139&gt;=60,H139&lt;80),'Berechnung-WÜ-Material'!$AM$110,IF(AND('Daten-Materialien'!H139&gt;=80,'Daten-Materialien'!H139&lt;100),'Berechnung-WÜ-Material'!$AN$110,IF(AND(H139&gt;=100,H139&lt;120),'Berechnung-WÜ-Material'!$AO$110,IF(AND('Daten-Materialien'!H139&gt;=120,'Daten-Materialien'!H139&lt;140),'Berechnung-WÜ-Material'!$AP$110,IF('Daten-Materialien'!H139&gt;140,'Berechnung-WÜ-Material'!$AQ$110,"FEHLER"))))))</f>
        <v>1.4830749679207913</v>
      </c>
      <c r="R139" s="241">
        <f>IF(E139&lt;0.1,'Berechnung-WÜ-Material'!$AS$110,IF(AND(E139&gt;=0.1,E139&lt;0.3),'Berechnung-WÜ-Material'!$AT$110,IF(AND('Daten-Materialien'!E139&gt;=0.3,'Daten-Materialien'!E139&lt;0.6),'Berechnung-WÜ-Material'!$AU$110,IF(AND(E139&gt;=0.6,E139&lt;1),'Berechnung-WÜ-Material'!$AV$110,IF(AND('Daten-Materialien'!E139&gt;=1,'Daten-Materialien'!E139&lt;1.5),'Berechnung-WÜ-Material'!$AW$110,IF('Daten-Materialien'!E139&gt;1.5,'Berechnung-WÜ-Material'!$AX$110,"FEHLER"))))))</f>
        <v>8.1415883793382715</v>
      </c>
      <c r="S139" s="241">
        <f>IF(K139&lt;15,'Berechnung-WÜ-Material'!$AZ$110,IF(AND(K139&gt;=15,K139&lt;30),'Berechnung-WÜ-Material'!$BA$110,IF(AND('Daten-Materialien'!K139&gt;=30,'Daten-Materialien'!K139&lt;45),'Berechnung-WÜ-Material'!$BB$110,IF(AND(K139&gt;=45,K139&lt;60),'Berechnung-WÜ-Material'!$BC$110,IF(AND('Daten-Materialien'!K139&gt;=60,'Daten-Materialien'!K139&lt;75),'Berechnung-WÜ-Material'!$BD$110,IF('Daten-Materialien'!K139&gt;75,'Berechnung-WÜ-Material'!$BE$110,"FEHLER"))))))</f>
        <v>2.6681383364247617</v>
      </c>
      <c r="T139" s="241">
        <f>SUM(Q139:S139)+(L139*3*'Berechnung-WÜ-Material'!$G$22)</f>
        <v>12.292801683683823</v>
      </c>
      <c r="U139" s="241">
        <f t="shared" si="25"/>
        <v>34.417784017286209</v>
      </c>
      <c r="V139" s="241">
        <f>100/'Berechnung-WÜ-Material'!$BF$112*'Daten-Materialien'!T139</f>
        <v>60.004269691049402</v>
      </c>
      <c r="W139" s="241">
        <f t="shared" si="22"/>
        <v>190</v>
      </c>
      <c r="X139" s="241" t="str">
        <f t="shared" si="28"/>
        <v/>
      </c>
      <c r="Y139" s="241">
        <f t="shared" si="29"/>
        <v>1</v>
      </c>
      <c r="Z139" s="241" t="str">
        <f t="shared" si="30"/>
        <v/>
      </c>
      <c r="AB139" s="241" t="s">
        <v>746</v>
      </c>
    </row>
    <row r="140" spans="1:35" ht="51.75" x14ac:dyDescent="0.25">
      <c r="A140" s="241" t="str">
        <f t="shared" si="26"/>
        <v/>
      </c>
      <c r="B140" s="241" t="s">
        <v>707</v>
      </c>
      <c r="D140" s="241">
        <v>0.25</v>
      </c>
      <c r="E140" s="241">
        <f t="shared" si="27"/>
        <v>0.25</v>
      </c>
      <c r="G140" s="339">
        <v>105</v>
      </c>
      <c r="H140" s="241">
        <f t="shared" si="23"/>
        <v>105</v>
      </c>
      <c r="I140" s="339"/>
      <c r="J140" s="339">
        <v>42</v>
      </c>
      <c r="K140" s="241">
        <f t="shared" si="24"/>
        <v>42</v>
      </c>
      <c r="L140" s="241">
        <v>0</v>
      </c>
      <c r="M140" s="241">
        <f>(0.6-1.8)/1.8*100</f>
        <v>-66.666666666666671</v>
      </c>
      <c r="N140" s="130" t="s">
        <v>704</v>
      </c>
      <c r="O140" s="341" t="s">
        <v>706</v>
      </c>
      <c r="P140" s="241" t="s">
        <v>708</v>
      </c>
      <c r="Q140" s="241">
        <f>IF(H140&lt;60,'Berechnung-WÜ-Material'!$AL$110,IF(AND(H140&gt;=60,H140&lt;80),'Berechnung-WÜ-Material'!$AM$110,IF(AND('Daten-Materialien'!H140&gt;=80,'Daten-Materialien'!H140&lt;100),'Berechnung-WÜ-Material'!$AN$110,IF(AND(H140&gt;=100,H140&lt;120),'Berechnung-WÜ-Material'!$AO$110,IF(AND('Daten-Materialien'!H140&gt;=120,'Daten-Materialien'!H140&lt;140),'Berechnung-WÜ-Material'!$AP$110,IF('Daten-Materialien'!H140&gt;140,'Berechnung-WÜ-Material'!$AQ$110,"FEHLER"))))))</f>
        <v>3.4064092551223228</v>
      </c>
      <c r="R140" s="241">
        <f>IF(E140&lt;0.1,'Berechnung-WÜ-Material'!$AS$110,IF(AND(E140&gt;=0.1,E140&lt;0.3),'Berechnung-WÜ-Material'!$AT$110,IF(AND('Daten-Materialien'!E140&gt;=0.3,'Daten-Materialien'!E140&lt;0.6),'Berechnung-WÜ-Material'!$AU$110,IF(AND(E140&gt;=0.6,E140&lt;1),'Berechnung-WÜ-Material'!$AV$110,IF(AND('Daten-Materialien'!E140&gt;=1,'Daten-Materialien'!E140&lt;1.5),'Berechnung-WÜ-Material'!$AW$110,IF('Daten-Materialien'!E140&gt;1.5,'Berechnung-WÜ-Material'!$AX$110,"FEHLER"))))))</f>
        <v>8.1415883793382715</v>
      </c>
      <c r="S140" s="241">
        <f>IF(K140&lt;15,'Berechnung-WÜ-Material'!$AZ$110,IF(AND(K140&gt;=15,K140&lt;30),'Berechnung-WÜ-Material'!$BA$110,IF(AND('Daten-Materialien'!K140&gt;=30,'Daten-Materialien'!K140&lt;45),'Berechnung-WÜ-Material'!$BB$110,IF(AND(K140&gt;=45,K140&lt;60),'Berechnung-WÜ-Material'!$BC$110,IF(AND('Daten-Materialien'!K140&gt;=60,'Daten-Materialien'!K140&lt;75),'Berechnung-WÜ-Material'!$BD$110,IF('Daten-Materialien'!K140&gt;75,'Berechnung-WÜ-Material'!$BE$110,"FEHLER"))))))</f>
        <v>5.9436257603083487</v>
      </c>
      <c r="T140" s="241">
        <f>SUM(Q140:S140)+(L140*3*'Berechnung-WÜ-Material'!$G$22)</f>
        <v>17.491623394768943</v>
      </c>
      <c r="U140" s="241">
        <f t="shared" si="25"/>
        <v>53.672679245067783</v>
      </c>
      <c r="V140" s="241">
        <f>100/'Berechnung-WÜ-Material'!$BF$112*'Daten-Materialien'!T140</f>
        <v>85.381031478534041</v>
      </c>
      <c r="W140" s="241">
        <f t="shared" si="22"/>
        <v>5</v>
      </c>
      <c r="X140" s="241" t="str">
        <f t="shared" si="28"/>
        <v/>
      </c>
      <c r="Y140" s="241">
        <f t="shared" si="29"/>
        <v>1</v>
      </c>
      <c r="Z140" s="241" t="str">
        <f t="shared" si="30"/>
        <v/>
      </c>
      <c r="AB140" s="241" t="s">
        <v>747</v>
      </c>
    </row>
    <row r="141" spans="1:35" ht="39" x14ac:dyDescent="0.25">
      <c r="A141" s="241" t="str">
        <f t="shared" si="26"/>
        <v/>
      </c>
      <c r="B141" s="241" t="s">
        <v>709</v>
      </c>
      <c r="D141" s="241">
        <v>0.45100000000000001</v>
      </c>
      <c r="E141" s="241">
        <f t="shared" si="27"/>
        <v>0.45100000000000001</v>
      </c>
      <c r="G141" s="339">
        <v>84.3</v>
      </c>
      <c r="H141" s="241">
        <f t="shared" si="23"/>
        <v>84.3</v>
      </c>
      <c r="J141" s="241">
        <v>57.6</v>
      </c>
      <c r="K141" s="241">
        <f t="shared" si="24"/>
        <v>57.6</v>
      </c>
      <c r="L141" s="339">
        <v>0</v>
      </c>
      <c r="M141" s="241">
        <v>100</v>
      </c>
      <c r="N141" s="130" t="s">
        <v>710</v>
      </c>
      <c r="Q141" s="241">
        <f>IF(H141&lt;60,'Berechnung-WÜ-Material'!$AL$110,IF(AND(H141&gt;=60,H141&lt;80),'Berechnung-WÜ-Material'!$AM$110,IF(AND('Daten-Materialien'!H141&gt;=80,'Daten-Materialien'!H141&lt;100),'Berechnung-WÜ-Material'!$AN$110,IF(AND(H141&gt;=100,H141&lt;120),'Berechnung-WÜ-Material'!$AO$110,IF(AND('Daten-Materialien'!H141&gt;=120,'Daten-Materialien'!H141&lt;140),'Berechnung-WÜ-Material'!$AP$110,IF('Daten-Materialien'!H141&gt;140,'Berechnung-WÜ-Material'!$AQ$110,"FEHLER"))))))</f>
        <v>2.9517194566014666</v>
      </c>
      <c r="R141" s="241">
        <f>IF(E141&lt;0.1,'Berechnung-WÜ-Material'!$AS$110,IF(AND(E141&gt;=0.1,E141&lt;0.3),'Berechnung-WÜ-Material'!$AT$110,IF(AND('Daten-Materialien'!E141&gt;=0.3,'Daten-Materialien'!E141&lt;0.6),'Berechnung-WÜ-Material'!$AU$110,IF(AND(E141&gt;=0.6,E141&lt;1),'Berechnung-WÜ-Material'!$AV$110,IF(AND('Daten-Materialien'!E141&gt;=1,'Daten-Materialien'!E141&lt;1.5),'Berechnung-WÜ-Material'!$AW$110,IF('Daten-Materialien'!E141&gt;1.5,'Berechnung-WÜ-Material'!$AX$110,"FEHLER"))))))</f>
        <v>7.4603395508911365</v>
      </c>
      <c r="S141" s="241">
        <f>IF(K141&lt;15,'Berechnung-WÜ-Material'!$AZ$110,IF(AND(K141&gt;=15,K141&lt;30),'Berechnung-WÜ-Material'!$BA$110,IF(AND('Daten-Materialien'!K141&gt;=30,'Daten-Materialien'!K141&lt;45),'Berechnung-WÜ-Material'!$BB$110,IF(AND(K141&gt;=45,K141&lt;60),'Berechnung-WÜ-Material'!$BC$110,IF(AND('Daten-Materialien'!K141&gt;=60,'Daten-Materialien'!K141&lt;75),'Berechnung-WÜ-Material'!$BD$110,IF('Daten-Materialien'!K141&gt;75,'Berechnung-WÜ-Material'!$BE$110,"FEHLER"))))))</f>
        <v>2.6681383364247617</v>
      </c>
      <c r="T141" s="241">
        <f>SUM(Q141:S141)+(L141*3*'Berechnung-WÜ-Material'!$G$22)</f>
        <v>13.080197343917366</v>
      </c>
      <c r="U141" s="241">
        <f t="shared" si="25"/>
        <v>37.334064240606708</v>
      </c>
      <c r="V141" s="241">
        <f>100/'Berechnung-WÜ-Material'!$BF$112*'Daten-Materialien'!T141</f>
        <v>63.847746773489142</v>
      </c>
      <c r="W141" s="241">
        <f t="shared" si="22"/>
        <v>162</v>
      </c>
      <c r="X141" s="241" t="str">
        <f t="shared" si="28"/>
        <v/>
      </c>
      <c r="Y141" s="241">
        <f t="shared" si="29"/>
        <v>1</v>
      </c>
      <c r="Z141" s="241" t="str">
        <f t="shared" si="30"/>
        <v/>
      </c>
      <c r="AB141" s="241" t="s">
        <v>748</v>
      </c>
    </row>
    <row r="142" spans="1:35" ht="39" x14ac:dyDescent="0.25">
      <c r="A142" s="241" t="str">
        <f t="shared" si="26"/>
        <v/>
      </c>
      <c r="B142" s="241" t="s">
        <v>711</v>
      </c>
      <c r="D142" s="241">
        <v>0.43</v>
      </c>
      <c r="E142" s="241">
        <f t="shared" si="27"/>
        <v>0.43</v>
      </c>
      <c r="G142" s="339">
        <v>87.7</v>
      </c>
      <c r="H142" s="241">
        <f t="shared" si="23"/>
        <v>87.7</v>
      </c>
      <c r="J142" s="241">
        <v>45</v>
      </c>
      <c r="K142" s="241">
        <f t="shared" si="24"/>
        <v>45</v>
      </c>
      <c r="L142" s="339">
        <v>0</v>
      </c>
      <c r="M142" s="241">
        <v>80</v>
      </c>
      <c r="N142" s="130" t="s">
        <v>710</v>
      </c>
      <c r="Q142" s="241">
        <f>IF(H142&lt;60,'Berechnung-WÜ-Material'!$AL$110,IF(AND(H142&gt;=60,H142&lt;80),'Berechnung-WÜ-Material'!$AM$110,IF(AND('Daten-Materialien'!H142&gt;=80,'Daten-Materialien'!H142&lt;100),'Berechnung-WÜ-Material'!$AN$110,IF(AND(H142&gt;=100,H142&lt;120),'Berechnung-WÜ-Material'!$AO$110,IF(AND('Daten-Materialien'!H142&gt;=120,'Daten-Materialien'!H142&lt;140),'Berechnung-WÜ-Material'!$AP$110,IF('Daten-Materialien'!H142&gt;140,'Berechnung-WÜ-Material'!$AQ$110,"FEHLER"))))))</f>
        <v>2.9517194566014666</v>
      </c>
      <c r="R142" s="241">
        <f>IF(E142&lt;0.1,'Berechnung-WÜ-Material'!$AS$110,IF(AND(E142&gt;=0.1,E142&lt;0.3),'Berechnung-WÜ-Material'!$AT$110,IF(AND('Daten-Materialien'!E142&gt;=0.3,'Daten-Materialien'!E142&lt;0.6),'Berechnung-WÜ-Material'!$AU$110,IF(AND(E142&gt;=0.6,E142&lt;1),'Berechnung-WÜ-Material'!$AV$110,IF(AND('Daten-Materialien'!E142&gt;=1,'Daten-Materialien'!E142&lt;1.5),'Berechnung-WÜ-Material'!$AW$110,IF('Daten-Materialien'!E142&gt;1.5,'Berechnung-WÜ-Material'!$AX$110,"FEHLER"))))))</f>
        <v>7.4603395508911365</v>
      </c>
      <c r="S142" s="241">
        <f>IF(K142&lt;15,'Berechnung-WÜ-Material'!$AZ$110,IF(AND(K142&gt;=15,K142&lt;30),'Berechnung-WÜ-Material'!$BA$110,IF(AND('Daten-Materialien'!K142&gt;=30,'Daten-Materialien'!K142&lt;45),'Berechnung-WÜ-Material'!$BB$110,IF(AND(K142&gt;=45,K142&lt;60),'Berechnung-WÜ-Material'!$BC$110,IF(AND('Daten-Materialien'!K142&gt;=60,'Daten-Materialien'!K142&lt;75),'Berechnung-WÜ-Material'!$BD$110,IF('Daten-Materialien'!K142&gt;75,'Berechnung-WÜ-Material'!$BE$110,"FEHLER"))))))</f>
        <v>2.6681383364247617</v>
      </c>
      <c r="T142" s="241">
        <f>SUM(Q142:S142)+(L142*3*'Berechnung-WÜ-Material'!$G$22)</f>
        <v>13.080197343917366</v>
      </c>
      <c r="U142" s="241">
        <f t="shared" si="25"/>
        <v>37.334064240606708</v>
      </c>
      <c r="V142" s="241">
        <f>100/'Berechnung-WÜ-Material'!$BF$112*'Daten-Materialien'!T142</f>
        <v>63.847746773489142</v>
      </c>
      <c r="W142" s="241">
        <f t="shared" si="22"/>
        <v>162</v>
      </c>
      <c r="X142" s="241" t="str">
        <f t="shared" si="28"/>
        <v/>
      </c>
      <c r="Y142" s="241">
        <f t="shared" si="29"/>
        <v>1</v>
      </c>
      <c r="Z142" s="241" t="str">
        <f t="shared" si="30"/>
        <v/>
      </c>
      <c r="AB142" s="241" t="s">
        <v>749</v>
      </c>
    </row>
    <row r="143" spans="1:35" ht="39" x14ac:dyDescent="0.25">
      <c r="A143" s="241" t="str">
        <f t="shared" si="26"/>
        <v/>
      </c>
      <c r="B143" s="241" t="s">
        <v>712</v>
      </c>
      <c r="D143" s="241">
        <v>1.0640000000000001</v>
      </c>
      <c r="E143" s="241">
        <f t="shared" si="27"/>
        <v>1.0640000000000001</v>
      </c>
      <c r="G143" s="339">
        <v>88.3</v>
      </c>
      <c r="H143" s="241">
        <f t="shared" si="23"/>
        <v>88.3</v>
      </c>
      <c r="J143" s="241">
        <v>31.5</v>
      </c>
      <c r="K143" s="241">
        <f t="shared" si="24"/>
        <v>31.5</v>
      </c>
      <c r="L143" s="339">
        <v>0</v>
      </c>
      <c r="M143" s="241">
        <v>78</v>
      </c>
      <c r="N143" s="130" t="s">
        <v>710</v>
      </c>
      <c r="Q143" s="241">
        <f>IF(H143&lt;60,'Berechnung-WÜ-Material'!$AL$110,IF(AND(H143&gt;=60,H143&lt;80),'Berechnung-WÜ-Material'!$AM$110,IF(AND('Daten-Materialien'!H143&gt;=80,'Daten-Materialien'!H143&lt;100),'Berechnung-WÜ-Material'!$AN$110,IF(AND(H143&gt;=100,H143&lt;120),'Berechnung-WÜ-Material'!$AO$110,IF(AND('Daten-Materialien'!H143&gt;=120,'Daten-Materialien'!H143&lt;140),'Berechnung-WÜ-Material'!$AP$110,IF('Daten-Materialien'!H143&gt;140,'Berechnung-WÜ-Material'!$AQ$110,"FEHLER"))))))</f>
        <v>2.9517194566014666</v>
      </c>
      <c r="R143" s="241">
        <f>IF(E143&lt;0.1,'Berechnung-WÜ-Material'!$AS$110,IF(AND(E143&gt;=0.1,E143&lt;0.3),'Berechnung-WÜ-Material'!$AT$110,IF(AND('Daten-Materialien'!E143&gt;=0.3,'Daten-Materialien'!E143&lt;0.6),'Berechnung-WÜ-Material'!$AU$110,IF(AND(E143&gt;=0.6,E143&lt;1),'Berechnung-WÜ-Material'!$AV$110,IF(AND('Daten-Materialien'!E143&gt;=1,'Daten-Materialien'!E143&lt;1.5),'Berechnung-WÜ-Material'!$AW$110,IF('Daten-Materialien'!E143&gt;1.5,'Berechnung-WÜ-Material'!$AX$110,"FEHLER"))))))</f>
        <v>3.6900162641574328</v>
      </c>
      <c r="S143" s="241">
        <f>IF(K143&lt;15,'Berechnung-WÜ-Material'!$AZ$110,IF(AND(K143&gt;=15,K143&lt;30),'Berechnung-WÜ-Material'!$BA$110,IF(AND('Daten-Materialien'!K143&gt;=30,'Daten-Materialien'!K143&lt;45),'Berechnung-WÜ-Material'!$BB$110,IF(AND(K143&gt;=45,K143&lt;60),'Berechnung-WÜ-Material'!$BC$110,IF(AND('Daten-Materialien'!K143&gt;=60,'Daten-Materialien'!K143&lt;75),'Berechnung-WÜ-Material'!$BD$110,IF('Daten-Materialien'!K143&gt;75,'Berechnung-WÜ-Material'!$BE$110,"FEHLER"))))))</f>
        <v>5.9436257603083487</v>
      </c>
      <c r="T143" s="241">
        <f>SUM(Q143:S143)+(L143*3*'Berechnung-WÜ-Material'!$G$22)</f>
        <v>12.585361481067249</v>
      </c>
      <c r="U143" s="241">
        <f t="shared" si="25"/>
        <v>35.501338822496699</v>
      </c>
      <c r="V143" s="241">
        <f>100/'Berechnung-WÜ-Material'!$BF$112*'Daten-Materialien'!T143</f>
        <v>61.432327951051619</v>
      </c>
      <c r="W143" s="241">
        <f t="shared" si="22"/>
        <v>187</v>
      </c>
      <c r="X143" s="241" t="str">
        <f t="shared" si="28"/>
        <v/>
      </c>
      <c r="Y143" s="241">
        <f t="shared" si="29"/>
        <v>1</v>
      </c>
      <c r="Z143" s="241" t="str">
        <f t="shared" si="30"/>
        <v/>
      </c>
      <c r="AB143" s="241" t="s">
        <v>642</v>
      </c>
    </row>
    <row r="144" spans="1:35" ht="39" x14ac:dyDescent="0.25">
      <c r="A144" s="241" t="str">
        <f t="shared" si="26"/>
        <v/>
      </c>
      <c r="B144" s="241" t="s">
        <v>713</v>
      </c>
      <c r="D144" s="241">
        <v>1.0549999999999999</v>
      </c>
      <c r="E144" s="241">
        <f t="shared" si="27"/>
        <v>1.0549999999999999</v>
      </c>
      <c r="G144" s="339">
        <v>98.9</v>
      </c>
      <c r="H144" s="241">
        <f t="shared" si="23"/>
        <v>98.9</v>
      </c>
      <c r="J144" s="241">
        <v>7.2</v>
      </c>
      <c r="K144" s="241">
        <f t="shared" si="24"/>
        <v>7.2</v>
      </c>
      <c r="L144" s="339">
        <v>0</v>
      </c>
      <c r="M144" s="241">
        <v>62</v>
      </c>
      <c r="N144" s="130" t="s">
        <v>710</v>
      </c>
      <c r="Q144" s="241">
        <f>IF(H144&lt;60,'Berechnung-WÜ-Material'!$AL$110,IF(AND(H144&gt;=60,H144&lt;80),'Berechnung-WÜ-Material'!$AM$110,IF(AND('Daten-Materialien'!H144&gt;=80,'Daten-Materialien'!H144&lt;100),'Berechnung-WÜ-Material'!$AN$110,IF(AND(H144&gt;=100,H144&lt;120),'Berechnung-WÜ-Material'!$AO$110,IF(AND('Daten-Materialien'!H144&gt;=120,'Daten-Materialien'!H144&lt;140),'Berechnung-WÜ-Material'!$AP$110,IF('Daten-Materialien'!H144&gt;140,'Berechnung-WÜ-Material'!$AQ$110,"FEHLER"))))))</f>
        <v>2.9517194566014666</v>
      </c>
      <c r="R144" s="241">
        <f>IF(E144&lt;0.1,'Berechnung-WÜ-Material'!$AS$110,IF(AND(E144&gt;=0.1,E144&lt;0.3),'Berechnung-WÜ-Material'!$AT$110,IF(AND('Daten-Materialien'!E144&gt;=0.3,'Daten-Materialien'!E144&lt;0.6),'Berechnung-WÜ-Material'!$AU$110,IF(AND(E144&gt;=0.6,E144&lt;1),'Berechnung-WÜ-Material'!$AV$110,IF(AND('Daten-Materialien'!E144&gt;=1,'Daten-Materialien'!E144&lt;1.5),'Berechnung-WÜ-Material'!$AW$110,IF('Daten-Materialien'!E144&gt;1.5,'Berechnung-WÜ-Material'!$AX$110,"FEHLER"))))))</f>
        <v>3.6900162641574328</v>
      </c>
      <c r="S144" s="241">
        <f>IF(K144&lt;15,'Berechnung-WÜ-Material'!$AZ$110,IF(AND(K144&gt;=15,K144&lt;30),'Berechnung-WÜ-Material'!$BA$110,IF(AND('Daten-Materialien'!K144&gt;=30,'Daten-Materialien'!K144&lt;45),'Berechnung-WÜ-Material'!$BB$110,IF(AND(K144&gt;=45,K144&lt;60),'Berechnung-WÜ-Material'!$BC$110,IF(AND('Daten-Materialien'!K144&gt;=60,'Daten-Materialien'!K144&lt;75),'Berechnung-WÜ-Material'!$BD$110,IF('Daten-Materialien'!K144&gt;75,'Berechnung-WÜ-Material'!$BE$110,"FEHLER"))))))</f>
        <v>3.4607748084549512</v>
      </c>
      <c r="T144" s="241">
        <f>SUM(Q144:S144)+(L144*3*'Berechnung-WÜ-Material'!$G$22)</f>
        <v>10.10251052921385</v>
      </c>
      <c r="U144" s="241">
        <f t="shared" si="25"/>
        <v>26.305594555637335</v>
      </c>
      <c r="V144" s="241">
        <f>100/'Berechnung-WÜ-Material'!$BF$112*'Daten-Materialien'!T144</f>
        <v>49.312905385613774</v>
      </c>
      <c r="W144" s="241">
        <f t="shared" si="22"/>
        <v>224</v>
      </c>
      <c r="X144" s="241" t="str">
        <f t="shared" si="28"/>
        <v/>
      </c>
      <c r="Y144" s="241">
        <f t="shared" si="29"/>
        <v>1</v>
      </c>
      <c r="Z144" s="241" t="str">
        <f t="shared" si="30"/>
        <v/>
      </c>
      <c r="AB144" s="241" t="s">
        <v>788</v>
      </c>
    </row>
    <row r="145" spans="1:28" ht="39" x14ac:dyDescent="0.25">
      <c r="A145" s="241" t="str">
        <f t="shared" si="26"/>
        <v/>
      </c>
      <c r="B145" s="241" t="s">
        <v>714</v>
      </c>
      <c r="D145" s="241">
        <v>0.24</v>
      </c>
      <c r="E145" s="241">
        <f t="shared" si="27"/>
        <v>0.24</v>
      </c>
      <c r="G145" s="339">
        <v>112.7</v>
      </c>
      <c r="H145" s="241">
        <f t="shared" si="23"/>
        <v>112.7</v>
      </c>
      <c r="J145" s="241">
        <v>4.5</v>
      </c>
      <c r="K145" s="241">
        <f t="shared" si="24"/>
        <v>4.5</v>
      </c>
      <c r="L145" s="339">
        <v>0</v>
      </c>
      <c r="M145" s="241">
        <v>-40</v>
      </c>
      <c r="N145" s="130" t="s">
        <v>710</v>
      </c>
      <c r="Q145" s="241">
        <f>IF(H145&lt;60,'Berechnung-WÜ-Material'!$AL$110,IF(AND(H145&gt;=60,H145&lt;80),'Berechnung-WÜ-Material'!$AM$110,IF(AND('Daten-Materialien'!H145&gt;=80,'Daten-Materialien'!H145&lt;100),'Berechnung-WÜ-Material'!$AN$110,IF(AND(H145&gt;=100,H145&lt;120),'Berechnung-WÜ-Material'!$AO$110,IF(AND('Daten-Materialien'!H145&gt;=120,'Daten-Materialien'!H145&lt;140),'Berechnung-WÜ-Material'!$AP$110,IF('Daten-Materialien'!H145&gt;140,'Berechnung-WÜ-Material'!$AQ$110,"FEHLER"))))))</f>
        <v>3.4064092551223228</v>
      </c>
      <c r="R145" s="241">
        <f>IF(E145&lt;0.1,'Berechnung-WÜ-Material'!$AS$110,IF(AND(E145&gt;=0.1,E145&lt;0.3),'Berechnung-WÜ-Material'!$AT$110,IF(AND('Daten-Materialien'!E145&gt;=0.3,'Daten-Materialien'!E145&lt;0.6),'Berechnung-WÜ-Material'!$AU$110,IF(AND(E145&gt;=0.6,E145&lt;1),'Berechnung-WÜ-Material'!$AV$110,IF(AND('Daten-Materialien'!E145&gt;=1,'Daten-Materialien'!E145&lt;1.5),'Berechnung-WÜ-Material'!$AW$110,IF('Daten-Materialien'!E145&gt;1.5,'Berechnung-WÜ-Material'!$AX$110,"FEHLER"))))))</f>
        <v>8.1415883793382715</v>
      </c>
      <c r="S145" s="241">
        <f>IF(K145&lt;15,'Berechnung-WÜ-Material'!$AZ$110,IF(AND(K145&gt;=15,K145&lt;30),'Berechnung-WÜ-Material'!$BA$110,IF(AND('Daten-Materialien'!K145&gt;=30,'Daten-Materialien'!K145&lt;45),'Berechnung-WÜ-Material'!$BB$110,IF(AND(K145&gt;=45,K145&lt;60),'Berechnung-WÜ-Material'!$BC$110,IF(AND('Daten-Materialien'!K145&gt;=60,'Daten-Materialien'!K145&lt;75),'Berechnung-WÜ-Material'!$BD$110,IF('Daten-Materialien'!K145&gt;75,'Berechnung-WÜ-Material'!$BE$110,"FEHLER"))))))</f>
        <v>3.4607748084549512</v>
      </c>
      <c r="T145" s="241">
        <f>SUM(Q145:S145)+(L145*3*'Berechnung-WÜ-Material'!$G$22)</f>
        <v>15.008772442915546</v>
      </c>
      <c r="U145" s="241">
        <f t="shared" si="25"/>
        <v>44.47693497820844</v>
      </c>
      <c r="V145" s="241">
        <f>100/'Berechnung-WÜ-Material'!$BF$112*'Daten-Materialien'!T145</f>
        <v>73.261608913096211</v>
      </c>
      <c r="W145" s="241">
        <f t="shared" si="22"/>
        <v>95</v>
      </c>
      <c r="X145" s="241" t="str">
        <f t="shared" si="28"/>
        <v/>
      </c>
      <c r="Y145" s="241">
        <f t="shared" si="29"/>
        <v>1</v>
      </c>
      <c r="Z145" s="241" t="str">
        <f t="shared" si="30"/>
        <v/>
      </c>
      <c r="AB145" s="241" t="s">
        <v>621</v>
      </c>
    </row>
    <row r="146" spans="1:28" ht="39" x14ac:dyDescent="0.25">
      <c r="A146" s="241" t="str">
        <f t="shared" si="26"/>
        <v/>
      </c>
      <c r="B146" s="241" t="s">
        <v>715</v>
      </c>
      <c r="D146" s="241">
        <v>0.25600000000000001</v>
      </c>
      <c r="E146" s="241">
        <f t="shared" si="27"/>
        <v>0.25600000000000001</v>
      </c>
      <c r="G146" s="339">
        <v>112.8</v>
      </c>
      <c r="H146" s="241">
        <f t="shared" si="23"/>
        <v>112.8</v>
      </c>
      <c r="J146" s="241">
        <v>6.3</v>
      </c>
      <c r="K146" s="241">
        <f t="shared" si="24"/>
        <v>6.3</v>
      </c>
      <c r="L146" s="339">
        <v>0</v>
      </c>
      <c r="M146" s="241">
        <v>-60</v>
      </c>
      <c r="N146" s="130" t="s">
        <v>710</v>
      </c>
      <c r="Q146" s="241">
        <f>IF(H146&lt;60,'Berechnung-WÜ-Material'!$AL$110,IF(AND(H146&gt;=60,H146&lt;80),'Berechnung-WÜ-Material'!$AM$110,IF(AND('Daten-Materialien'!H146&gt;=80,'Daten-Materialien'!H146&lt;100),'Berechnung-WÜ-Material'!$AN$110,IF(AND(H146&gt;=100,H146&lt;120),'Berechnung-WÜ-Material'!$AO$110,IF(AND('Daten-Materialien'!H146&gt;=120,'Daten-Materialien'!H146&lt;140),'Berechnung-WÜ-Material'!$AP$110,IF('Daten-Materialien'!H146&gt;140,'Berechnung-WÜ-Material'!$AQ$110,"FEHLER"))))))</f>
        <v>3.4064092551223228</v>
      </c>
      <c r="R146" s="241">
        <f>IF(E146&lt;0.1,'Berechnung-WÜ-Material'!$AS$110,IF(AND(E146&gt;=0.1,E146&lt;0.3),'Berechnung-WÜ-Material'!$AT$110,IF(AND('Daten-Materialien'!E146&gt;=0.3,'Daten-Materialien'!E146&lt;0.6),'Berechnung-WÜ-Material'!$AU$110,IF(AND(E146&gt;=0.6,E146&lt;1),'Berechnung-WÜ-Material'!$AV$110,IF(AND('Daten-Materialien'!E146&gt;=1,'Daten-Materialien'!E146&lt;1.5),'Berechnung-WÜ-Material'!$AW$110,IF('Daten-Materialien'!E146&gt;1.5,'Berechnung-WÜ-Material'!$AX$110,"FEHLER"))))))</f>
        <v>8.1415883793382715</v>
      </c>
      <c r="S146" s="241">
        <f>IF(K146&lt;15,'Berechnung-WÜ-Material'!$AZ$110,IF(AND(K146&gt;=15,K146&lt;30),'Berechnung-WÜ-Material'!$BA$110,IF(AND('Daten-Materialien'!K146&gt;=30,'Daten-Materialien'!K146&lt;45),'Berechnung-WÜ-Material'!$BB$110,IF(AND(K146&gt;=45,K146&lt;60),'Berechnung-WÜ-Material'!$BC$110,IF(AND('Daten-Materialien'!K146&gt;=60,'Daten-Materialien'!K146&lt;75),'Berechnung-WÜ-Material'!$BD$110,IF('Daten-Materialien'!K146&gt;75,'Berechnung-WÜ-Material'!$BE$110,"FEHLER"))))))</f>
        <v>3.4607748084549512</v>
      </c>
      <c r="T146" s="241">
        <f>SUM(Q146:S146)+(L146*3*'Berechnung-WÜ-Material'!$G$22)</f>
        <v>15.008772442915546</v>
      </c>
      <c r="U146" s="241">
        <f t="shared" si="25"/>
        <v>44.47693497820844</v>
      </c>
      <c r="V146" s="241">
        <f>100/'Berechnung-WÜ-Material'!$BF$112*'Daten-Materialien'!T146</f>
        <v>73.261608913096211</v>
      </c>
      <c r="W146" s="241">
        <f t="shared" si="22"/>
        <v>95</v>
      </c>
      <c r="X146" s="241" t="str">
        <f t="shared" si="28"/>
        <v/>
      </c>
      <c r="Y146" s="241">
        <f t="shared" si="29"/>
        <v>1</v>
      </c>
      <c r="Z146" s="241" t="str">
        <f t="shared" si="30"/>
        <v/>
      </c>
      <c r="AB146" s="241" t="s">
        <v>896</v>
      </c>
    </row>
    <row r="147" spans="1:28" ht="39" x14ac:dyDescent="0.25">
      <c r="A147" s="241" t="str">
        <f t="shared" si="26"/>
        <v/>
      </c>
      <c r="B147" s="241" t="s">
        <v>716</v>
      </c>
      <c r="D147" s="241">
        <v>0.28000000000000003</v>
      </c>
      <c r="E147" s="241">
        <f t="shared" si="27"/>
        <v>0.28000000000000003</v>
      </c>
      <c r="G147" s="339">
        <v>113.1</v>
      </c>
      <c r="H147" s="241">
        <f t="shared" si="23"/>
        <v>113.1</v>
      </c>
      <c r="J147" s="241">
        <v>0.9</v>
      </c>
      <c r="K147" s="241">
        <f t="shared" si="24"/>
        <v>0.9</v>
      </c>
      <c r="L147" s="339">
        <v>0</v>
      </c>
      <c r="M147" s="241">
        <v>-70</v>
      </c>
      <c r="N147" s="130" t="s">
        <v>710</v>
      </c>
      <c r="Q147" s="241">
        <f>IF(H147&lt;60,'Berechnung-WÜ-Material'!$AL$110,IF(AND(H147&gt;=60,H147&lt;80),'Berechnung-WÜ-Material'!$AM$110,IF(AND('Daten-Materialien'!H147&gt;=80,'Daten-Materialien'!H147&lt;100),'Berechnung-WÜ-Material'!$AN$110,IF(AND(H147&gt;=100,H147&lt;120),'Berechnung-WÜ-Material'!$AO$110,IF(AND('Daten-Materialien'!H147&gt;=120,'Daten-Materialien'!H147&lt;140),'Berechnung-WÜ-Material'!$AP$110,IF('Daten-Materialien'!H147&gt;140,'Berechnung-WÜ-Material'!$AQ$110,"FEHLER"))))))</f>
        <v>3.4064092551223228</v>
      </c>
      <c r="R147" s="241">
        <f>IF(E147&lt;0.1,'Berechnung-WÜ-Material'!$AS$110,IF(AND(E147&gt;=0.1,E147&lt;0.3),'Berechnung-WÜ-Material'!$AT$110,IF(AND('Daten-Materialien'!E147&gt;=0.3,'Daten-Materialien'!E147&lt;0.6),'Berechnung-WÜ-Material'!$AU$110,IF(AND(E147&gt;=0.6,E147&lt;1),'Berechnung-WÜ-Material'!$AV$110,IF(AND('Daten-Materialien'!E147&gt;=1,'Daten-Materialien'!E147&lt;1.5),'Berechnung-WÜ-Material'!$AW$110,IF('Daten-Materialien'!E147&gt;1.5,'Berechnung-WÜ-Material'!$AX$110,"FEHLER"))))))</f>
        <v>8.1415883793382715</v>
      </c>
      <c r="S147" s="241">
        <f>IF(K147&lt;15,'Berechnung-WÜ-Material'!$AZ$110,IF(AND(K147&gt;=15,K147&lt;30),'Berechnung-WÜ-Material'!$BA$110,IF(AND('Daten-Materialien'!K147&gt;=30,'Daten-Materialien'!K147&lt;45),'Berechnung-WÜ-Material'!$BB$110,IF(AND(K147&gt;=45,K147&lt;60),'Berechnung-WÜ-Material'!$BC$110,IF(AND('Daten-Materialien'!K147&gt;=60,'Daten-Materialien'!K147&lt;75),'Berechnung-WÜ-Material'!$BD$110,IF('Daten-Materialien'!K147&gt;75,'Berechnung-WÜ-Material'!$BE$110,"FEHLER"))))))</f>
        <v>3.4607748084549512</v>
      </c>
      <c r="T147" s="241">
        <f>SUM(Q147:S147)+(L147*3*'Berechnung-WÜ-Material'!$G$22)</f>
        <v>15.008772442915546</v>
      </c>
      <c r="U147" s="241">
        <f t="shared" si="25"/>
        <v>44.47693497820844</v>
      </c>
      <c r="V147" s="241">
        <f>100/'Berechnung-WÜ-Material'!$BF$112*'Daten-Materialien'!T147</f>
        <v>73.261608913096211</v>
      </c>
      <c r="W147" s="241">
        <f t="shared" si="22"/>
        <v>95</v>
      </c>
      <c r="X147" s="241" t="str">
        <f t="shared" si="28"/>
        <v/>
      </c>
      <c r="Y147" s="241">
        <f t="shared" si="29"/>
        <v>1</v>
      </c>
      <c r="Z147" s="241" t="str">
        <f t="shared" si="30"/>
        <v/>
      </c>
      <c r="AB147" s="241" t="s">
        <v>895</v>
      </c>
    </row>
    <row r="148" spans="1:28" ht="39" x14ac:dyDescent="0.25">
      <c r="A148" s="241" t="str">
        <f t="shared" si="26"/>
        <v/>
      </c>
      <c r="B148" s="241" t="s">
        <v>717</v>
      </c>
      <c r="D148" s="241">
        <v>1.07</v>
      </c>
      <c r="E148" s="241">
        <f t="shared" si="27"/>
        <v>1.07</v>
      </c>
      <c r="G148" s="339">
        <v>116.5</v>
      </c>
      <c r="H148" s="241">
        <f t="shared" si="23"/>
        <v>116.5</v>
      </c>
      <c r="J148" s="241">
        <v>7.2</v>
      </c>
      <c r="K148" s="241">
        <f t="shared" si="24"/>
        <v>7.2</v>
      </c>
      <c r="L148" s="339">
        <v>0</v>
      </c>
      <c r="M148" s="241">
        <v>65</v>
      </c>
      <c r="N148" s="130" t="s">
        <v>710</v>
      </c>
      <c r="Q148" s="241">
        <f>IF(H148&lt;60,'Berechnung-WÜ-Material'!$AL$110,IF(AND(H148&gt;=60,H148&lt;80),'Berechnung-WÜ-Material'!$AM$110,IF(AND('Daten-Materialien'!H148&gt;=80,'Daten-Materialien'!H148&lt;100),'Berechnung-WÜ-Material'!$AN$110,IF(AND(H148&gt;=100,H148&lt;120),'Berechnung-WÜ-Material'!$AO$110,IF(AND('Daten-Materialien'!H148&gt;=120,'Daten-Materialien'!H148&lt;140),'Berechnung-WÜ-Material'!$AP$110,IF('Daten-Materialien'!H148&gt;140,'Berechnung-WÜ-Material'!$AQ$110,"FEHLER"))))))</f>
        <v>3.4064092551223228</v>
      </c>
      <c r="R148" s="241">
        <f>IF(E148&lt;0.1,'Berechnung-WÜ-Material'!$AS$110,IF(AND(E148&gt;=0.1,E148&lt;0.3),'Berechnung-WÜ-Material'!$AT$110,IF(AND('Daten-Materialien'!E148&gt;=0.3,'Daten-Materialien'!E148&lt;0.6),'Berechnung-WÜ-Material'!$AU$110,IF(AND(E148&gt;=0.6,E148&lt;1),'Berechnung-WÜ-Material'!$AV$110,IF(AND('Daten-Materialien'!E148&gt;=1,'Daten-Materialien'!E148&lt;1.5),'Berechnung-WÜ-Material'!$AW$110,IF('Daten-Materialien'!E148&gt;1.5,'Berechnung-WÜ-Material'!$AX$110,"FEHLER"))))))</f>
        <v>3.6900162641574328</v>
      </c>
      <c r="S148" s="241">
        <f>IF(K148&lt;15,'Berechnung-WÜ-Material'!$AZ$110,IF(AND(K148&gt;=15,K148&lt;30),'Berechnung-WÜ-Material'!$BA$110,IF(AND('Daten-Materialien'!K148&gt;=30,'Daten-Materialien'!K148&lt;45),'Berechnung-WÜ-Material'!$BB$110,IF(AND(K148&gt;=45,K148&lt;60),'Berechnung-WÜ-Material'!$BC$110,IF(AND('Daten-Materialien'!K148&gt;=60,'Daten-Materialien'!K148&lt;75),'Berechnung-WÜ-Material'!$BD$110,IF('Daten-Materialien'!K148&gt;75,'Berechnung-WÜ-Material'!$BE$110,"FEHLER"))))))</f>
        <v>3.4607748084549512</v>
      </c>
      <c r="T148" s="241">
        <f>SUM(Q148:S148)+(L148*3*'Berechnung-WÜ-Material'!$G$22)</f>
        <v>10.557200327734707</v>
      </c>
      <c r="U148" s="241">
        <f t="shared" si="25"/>
        <v>27.989630846590046</v>
      </c>
      <c r="V148" s="241">
        <f>100/'Berechnung-WÜ-Material'!$BF$112*'Daten-Materialien'!T148</f>
        <v>51.532361128760385</v>
      </c>
      <c r="W148" s="241">
        <f t="shared" si="22"/>
        <v>209</v>
      </c>
      <c r="X148" s="241" t="str">
        <f t="shared" si="28"/>
        <v/>
      </c>
      <c r="Y148" s="241">
        <f t="shared" si="29"/>
        <v>1</v>
      </c>
      <c r="Z148" s="241" t="str">
        <f t="shared" si="30"/>
        <v/>
      </c>
      <c r="AB148" s="241" t="s">
        <v>799</v>
      </c>
    </row>
    <row r="149" spans="1:28" ht="39" customHeight="1" x14ac:dyDescent="0.25">
      <c r="A149" s="241" t="str">
        <f t="shared" si="26"/>
        <v/>
      </c>
      <c r="B149" s="241" t="s">
        <v>871</v>
      </c>
      <c r="D149" s="337">
        <v>0.25</v>
      </c>
      <c r="E149" s="241">
        <f t="shared" si="27"/>
        <v>0.25</v>
      </c>
      <c r="F149" s="337"/>
      <c r="G149" s="337">
        <v>80</v>
      </c>
      <c r="H149" s="241">
        <f t="shared" si="23"/>
        <v>80</v>
      </c>
      <c r="J149" s="241">
        <v>50</v>
      </c>
      <c r="K149" s="241">
        <f t="shared" si="24"/>
        <v>50</v>
      </c>
      <c r="L149" s="339">
        <v>0</v>
      </c>
      <c r="M149" s="241">
        <v>100</v>
      </c>
      <c r="N149" s="130" t="s">
        <v>718</v>
      </c>
      <c r="Q149" s="241">
        <f>IF(H149&lt;60,'Berechnung-WÜ-Material'!$AL$110,IF(AND(H149&gt;=60,H149&lt;80),'Berechnung-WÜ-Material'!$AM$110,IF(AND('Daten-Materialien'!H149&gt;=80,'Daten-Materialien'!H149&lt;100),'Berechnung-WÜ-Material'!$AN$110,IF(AND(H149&gt;=100,H149&lt;120),'Berechnung-WÜ-Material'!$AO$110,IF(AND('Daten-Materialien'!H149&gt;=120,'Daten-Materialien'!H149&lt;140),'Berechnung-WÜ-Material'!$AP$110,IF('Daten-Materialien'!H149&gt;140,'Berechnung-WÜ-Material'!$AQ$110,"FEHLER"))))))</f>
        <v>2.9517194566014666</v>
      </c>
      <c r="R149" s="241">
        <f>IF(E149&lt;0.1,'Berechnung-WÜ-Material'!$AS$110,IF(AND(E149&gt;=0.1,E149&lt;0.3),'Berechnung-WÜ-Material'!$AT$110,IF(AND('Daten-Materialien'!E149&gt;=0.3,'Daten-Materialien'!E149&lt;0.6),'Berechnung-WÜ-Material'!$AU$110,IF(AND(E149&gt;=0.6,E149&lt;1),'Berechnung-WÜ-Material'!$AV$110,IF(AND('Daten-Materialien'!E149&gt;=1,'Daten-Materialien'!E149&lt;1.5),'Berechnung-WÜ-Material'!$AW$110,IF('Daten-Materialien'!E149&gt;1.5,'Berechnung-WÜ-Material'!$AX$110,"FEHLER"))))))</f>
        <v>8.1415883793382715</v>
      </c>
      <c r="S149" s="241">
        <f>IF(K149&lt;15,'Berechnung-WÜ-Material'!$AZ$110,IF(AND(K149&gt;=15,K149&lt;30),'Berechnung-WÜ-Material'!$BA$110,IF(AND('Daten-Materialien'!K149&gt;=30,'Daten-Materialien'!K149&lt;45),'Berechnung-WÜ-Material'!$BB$110,IF(AND(K149&gt;=45,K149&lt;60),'Berechnung-WÜ-Material'!$BC$110,IF(AND('Daten-Materialien'!K149&gt;=60,'Daten-Materialien'!K149&lt;75),'Berechnung-WÜ-Material'!$BD$110,IF('Daten-Materialien'!K149&gt;75,'Berechnung-WÜ-Material'!$BE$110,"FEHLER"))))))</f>
        <v>2.6681383364247617</v>
      </c>
      <c r="T149" s="241">
        <f>SUM(Q149:S149)+(L149*3*'Berechnung-WÜ-Material'!$G$22)</f>
        <v>13.761446172364501</v>
      </c>
      <c r="U149" s="241">
        <f t="shared" si="25"/>
        <v>39.857208049872021</v>
      </c>
      <c r="V149" s="241">
        <f>100/'Berechnung-WÜ-Material'!$BF$112*'Daten-Materialien'!T149</f>
        <v>67.173094361509726</v>
      </c>
      <c r="W149" s="241">
        <f t="shared" si="22"/>
        <v>137</v>
      </c>
      <c r="X149" s="241" t="str">
        <f t="shared" si="28"/>
        <v/>
      </c>
      <c r="Y149" s="241">
        <f t="shared" si="29"/>
        <v>1</v>
      </c>
      <c r="Z149" s="241" t="str">
        <f t="shared" si="30"/>
        <v/>
      </c>
      <c r="AB149" s="241" t="s">
        <v>797</v>
      </c>
    </row>
    <row r="150" spans="1:28" ht="39" x14ac:dyDescent="0.25">
      <c r="A150" s="241" t="str">
        <f t="shared" si="26"/>
        <v/>
      </c>
      <c r="B150" s="241" t="s">
        <v>872</v>
      </c>
      <c r="D150" s="337">
        <v>0.22</v>
      </c>
      <c r="E150" s="241">
        <f t="shared" si="27"/>
        <v>0.22</v>
      </c>
      <c r="F150" s="337"/>
      <c r="G150" s="337">
        <v>75</v>
      </c>
      <c r="H150" s="241">
        <f t="shared" si="23"/>
        <v>75</v>
      </c>
      <c r="J150" s="241">
        <v>49</v>
      </c>
      <c r="K150" s="241">
        <f t="shared" si="24"/>
        <v>49</v>
      </c>
      <c r="L150" s="339">
        <v>0</v>
      </c>
      <c r="M150" s="241">
        <f>(3-2.9)/2.9*100</f>
        <v>3.4482758620689689</v>
      </c>
      <c r="N150" s="130" t="s">
        <v>718</v>
      </c>
      <c r="Q150" s="241">
        <f>IF(H150&lt;60,'Berechnung-WÜ-Material'!$AL$110,IF(AND(H150&gt;=60,H150&lt;80),'Berechnung-WÜ-Material'!$AM$110,IF(AND('Daten-Materialien'!H150&gt;=80,'Daten-Materialien'!H150&lt;100),'Berechnung-WÜ-Material'!$AN$110,IF(AND(H150&gt;=100,H150&lt;120),'Berechnung-WÜ-Material'!$AO$110,IF(AND('Daten-Materialien'!H150&gt;=120,'Daten-Materialien'!H150&lt;140),'Berechnung-WÜ-Material'!$AP$110,IF('Daten-Materialien'!H150&gt;140,'Berechnung-WÜ-Material'!$AQ$110,"FEHLER"))))))</f>
        <v>1.4830749679207913</v>
      </c>
      <c r="R150" s="241">
        <f>IF(E150&lt;0.1,'Berechnung-WÜ-Material'!$AS$110,IF(AND(E150&gt;=0.1,E150&lt;0.3),'Berechnung-WÜ-Material'!$AT$110,IF(AND('Daten-Materialien'!E150&gt;=0.3,'Daten-Materialien'!E150&lt;0.6),'Berechnung-WÜ-Material'!$AU$110,IF(AND(E150&gt;=0.6,E150&lt;1),'Berechnung-WÜ-Material'!$AV$110,IF(AND('Daten-Materialien'!E150&gt;=1,'Daten-Materialien'!E150&lt;1.5),'Berechnung-WÜ-Material'!$AW$110,IF('Daten-Materialien'!E150&gt;1.5,'Berechnung-WÜ-Material'!$AX$110,"FEHLER"))))))</f>
        <v>8.1415883793382715</v>
      </c>
      <c r="S150" s="241">
        <f>IF(K150&lt;15,'Berechnung-WÜ-Material'!$AZ$110,IF(AND(K150&gt;=15,K150&lt;30),'Berechnung-WÜ-Material'!$BA$110,IF(AND('Daten-Materialien'!K150&gt;=30,'Daten-Materialien'!K150&lt;45),'Berechnung-WÜ-Material'!$BB$110,IF(AND(K150&gt;=45,K150&lt;60),'Berechnung-WÜ-Material'!$BC$110,IF(AND('Daten-Materialien'!K150&gt;=60,'Daten-Materialien'!K150&lt;75),'Berechnung-WÜ-Material'!$BD$110,IF('Daten-Materialien'!K150&gt;75,'Berechnung-WÜ-Material'!$BE$110,"FEHLER"))))))</f>
        <v>2.6681383364247617</v>
      </c>
      <c r="T150" s="241">
        <f>SUM(Q150:S150)+(L150*3*'Berechnung-WÜ-Material'!$G$22)</f>
        <v>12.292801683683823</v>
      </c>
      <c r="U150" s="241">
        <f t="shared" si="25"/>
        <v>34.417784017286209</v>
      </c>
      <c r="V150" s="241">
        <f>100/'Berechnung-WÜ-Material'!$BF$112*'Daten-Materialien'!T150</f>
        <v>60.004269691049402</v>
      </c>
      <c r="W150" s="241">
        <f t="shared" si="22"/>
        <v>190</v>
      </c>
      <c r="X150" s="241" t="str">
        <f t="shared" si="28"/>
        <v/>
      </c>
      <c r="Y150" s="241">
        <f t="shared" si="29"/>
        <v>1</v>
      </c>
      <c r="Z150" s="241" t="str">
        <f t="shared" si="30"/>
        <v/>
      </c>
      <c r="AB150" s="241" t="s">
        <v>798</v>
      </c>
    </row>
    <row r="151" spans="1:28" ht="39" customHeight="1" x14ac:dyDescent="0.25">
      <c r="A151" s="241" t="str">
        <f t="shared" si="26"/>
        <v/>
      </c>
      <c r="B151" s="241" t="s">
        <v>719</v>
      </c>
      <c r="D151" s="337">
        <v>0.15</v>
      </c>
      <c r="E151" s="241">
        <f t="shared" si="27"/>
        <v>0.15</v>
      </c>
      <c r="F151" s="337"/>
      <c r="G151" s="337">
        <v>78</v>
      </c>
      <c r="H151" s="241">
        <f t="shared" si="23"/>
        <v>78</v>
      </c>
      <c r="J151" s="241">
        <v>49</v>
      </c>
      <c r="K151" s="241">
        <f t="shared" si="24"/>
        <v>49</v>
      </c>
      <c r="L151" s="339">
        <v>0</v>
      </c>
      <c r="M151" s="241">
        <f>(1.8-2)/2*100</f>
        <v>-9.9999999999999982</v>
      </c>
      <c r="N151" s="130" t="s">
        <v>718</v>
      </c>
      <c r="O151" s="241" t="s">
        <v>720</v>
      </c>
      <c r="Q151" s="241">
        <f>IF(H151&lt;60,'Berechnung-WÜ-Material'!$AL$110,IF(AND(H151&gt;=60,H151&lt;80),'Berechnung-WÜ-Material'!$AM$110,IF(AND('Daten-Materialien'!H151&gt;=80,'Daten-Materialien'!H151&lt;100),'Berechnung-WÜ-Material'!$AN$110,IF(AND(H151&gt;=100,H151&lt;120),'Berechnung-WÜ-Material'!$AO$110,IF(AND('Daten-Materialien'!H151&gt;=120,'Daten-Materialien'!H151&lt;140),'Berechnung-WÜ-Material'!$AP$110,IF('Daten-Materialien'!H151&gt;140,'Berechnung-WÜ-Material'!$AQ$110,"FEHLER"))))))</f>
        <v>1.4830749679207913</v>
      </c>
      <c r="R151" s="241">
        <f>IF(E151&lt;0.1,'Berechnung-WÜ-Material'!$AS$110,IF(AND(E151&gt;=0.1,E151&lt;0.3),'Berechnung-WÜ-Material'!$AT$110,IF(AND('Daten-Materialien'!E151&gt;=0.3,'Daten-Materialien'!E151&lt;0.6),'Berechnung-WÜ-Material'!$AU$110,IF(AND(E151&gt;=0.6,E151&lt;1),'Berechnung-WÜ-Material'!$AV$110,IF(AND('Daten-Materialien'!E151&gt;=1,'Daten-Materialien'!E151&lt;1.5),'Berechnung-WÜ-Material'!$AW$110,IF('Daten-Materialien'!E151&gt;1.5,'Berechnung-WÜ-Material'!$AX$110,"FEHLER"))))))</f>
        <v>8.1415883793382715</v>
      </c>
      <c r="S151" s="241">
        <f>IF(K151&lt;15,'Berechnung-WÜ-Material'!$AZ$110,IF(AND(K151&gt;=15,K151&lt;30),'Berechnung-WÜ-Material'!$BA$110,IF(AND('Daten-Materialien'!K151&gt;=30,'Daten-Materialien'!K151&lt;45),'Berechnung-WÜ-Material'!$BB$110,IF(AND(K151&gt;=45,K151&lt;60),'Berechnung-WÜ-Material'!$BC$110,IF(AND('Daten-Materialien'!K151&gt;=60,'Daten-Materialien'!K151&lt;75),'Berechnung-WÜ-Material'!$BD$110,IF('Daten-Materialien'!K151&gt;75,'Berechnung-WÜ-Material'!$BE$110,"FEHLER"))))))</f>
        <v>2.6681383364247617</v>
      </c>
      <c r="T151" s="241">
        <f>SUM(Q151:S151)+(L151*3*'Berechnung-WÜ-Material'!$G$22)</f>
        <v>12.292801683683823</v>
      </c>
      <c r="U151" s="241">
        <f t="shared" si="25"/>
        <v>34.417784017286209</v>
      </c>
      <c r="V151" s="241">
        <f>100/'Berechnung-WÜ-Material'!$BF$112*'Daten-Materialien'!T151</f>
        <v>60.004269691049402</v>
      </c>
      <c r="W151" s="241">
        <f t="shared" si="22"/>
        <v>190</v>
      </c>
      <c r="X151" s="241" t="str">
        <f t="shared" si="28"/>
        <v/>
      </c>
      <c r="Y151" s="241">
        <f t="shared" si="29"/>
        <v>1</v>
      </c>
      <c r="Z151" s="241" t="str">
        <f t="shared" si="30"/>
        <v/>
      </c>
      <c r="AB151" s="241" t="s">
        <v>716</v>
      </c>
    </row>
    <row r="152" spans="1:28" ht="39" x14ac:dyDescent="0.25">
      <c r="A152" s="241" t="str">
        <f t="shared" si="26"/>
        <v/>
      </c>
      <c r="B152" s="241" t="s">
        <v>873</v>
      </c>
      <c r="D152" s="337">
        <v>0.47</v>
      </c>
      <c r="E152" s="241">
        <f t="shared" si="27"/>
        <v>0.47</v>
      </c>
      <c r="F152" s="337"/>
      <c r="G152" s="337">
        <v>53.2</v>
      </c>
      <c r="H152" s="241">
        <f t="shared" si="23"/>
        <v>53.2</v>
      </c>
      <c r="J152" s="241">
        <v>37</v>
      </c>
      <c r="K152" s="241">
        <f t="shared" si="24"/>
        <v>37</v>
      </c>
      <c r="L152" s="339">
        <v>0</v>
      </c>
      <c r="M152" s="241">
        <f>(1.2-2)/2*100</f>
        <v>-40</v>
      </c>
      <c r="N152" s="130" t="s">
        <v>718</v>
      </c>
      <c r="Q152" s="241">
        <f>IF(H152&lt;60,'Berechnung-WÜ-Material'!$AL$110,IF(AND(H152&gt;=60,H152&lt;80),'Berechnung-WÜ-Material'!$AM$110,IF(AND('Daten-Materialien'!H152&gt;=80,'Daten-Materialien'!H152&lt;100),'Berechnung-WÜ-Material'!$AN$110,IF(AND(H152&gt;=100,H152&lt;120),'Berechnung-WÜ-Material'!$AO$110,IF(AND('Daten-Materialien'!H152&gt;=120,'Daten-Materialien'!H152&lt;140),'Berechnung-WÜ-Material'!$AP$110,IF('Daten-Materialien'!H152&gt;140,'Berechnung-WÜ-Material'!$AQ$110,"FEHLER"))))))</f>
        <v>2.2063369805171464</v>
      </c>
      <c r="R152" s="241">
        <f>IF(E152&lt;0.1,'Berechnung-WÜ-Material'!$AS$110,IF(AND(E152&gt;=0.1,E152&lt;0.3),'Berechnung-WÜ-Material'!$AT$110,IF(AND('Daten-Materialien'!E152&gt;=0.3,'Daten-Materialien'!E152&lt;0.6),'Berechnung-WÜ-Material'!$AU$110,IF(AND(E152&gt;=0.6,E152&lt;1),'Berechnung-WÜ-Material'!$AV$110,IF(AND('Daten-Materialien'!E152&gt;=1,'Daten-Materialien'!E152&lt;1.5),'Berechnung-WÜ-Material'!$AW$110,IF('Daten-Materialien'!E152&gt;1.5,'Berechnung-WÜ-Material'!$AX$110,"FEHLER"))))))</f>
        <v>7.4603395508911365</v>
      </c>
      <c r="S152" s="241">
        <f>IF(K152&lt;15,'Berechnung-WÜ-Material'!$AZ$110,IF(AND(K152&gt;=15,K152&lt;30),'Berechnung-WÜ-Material'!$BA$110,IF(AND('Daten-Materialien'!K152&gt;=30,'Daten-Materialien'!K152&lt;45),'Berechnung-WÜ-Material'!$BB$110,IF(AND(K152&gt;=45,K152&lt;60),'Berechnung-WÜ-Material'!$BC$110,IF(AND('Daten-Materialien'!K152&gt;=60,'Daten-Materialien'!K152&lt;75),'Berechnung-WÜ-Material'!$BD$110,IF('Daten-Materialien'!K152&gt;75,'Berechnung-WÜ-Material'!$BE$110,"FEHLER"))))))</f>
        <v>5.9436257603083487</v>
      </c>
      <c r="T152" s="241">
        <f>SUM(Q152:S152)+(L152*3*'Berechnung-WÜ-Material'!$G$22)</f>
        <v>15.610302291716632</v>
      </c>
      <c r="U152" s="241">
        <f t="shared" si="25"/>
        <v>46.704823307279575</v>
      </c>
      <c r="V152" s="241">
        <f>100/'Berechnung-WÜ-Material'!$BF$112*'Daten-Materialien'!T152</f>
        <v>76.197828027619494</v>
      </c>
      <c r="W152" s="241">
        <f t="shared" si="22"/>
        <v>74</v>
      </c>
      <c r="X152" s="241" t="str">
        <f t="shared" si="28"/>
        <v/>
      </c>
      <c r="Y152" s="241">
        <f t="shared" si="29"/>
        <v>1</v>
      </c>
      <c r="Z152" s="241" t="str">
        <f t="shared" si="30"/>
        <v/>
      </c>
      <c r="AB152" s="241" t="s">
        <v>714</v>
      </c>
    </row>
    <row r="153" spans="1:28" ht="39" x14ac:dyDescent="0.25">
      <c r="A153" s="241" t="str">
        <f t="shared" si="26"/>
        <v/>
      </c>
      <c r="B153" s="241" t="s">
        <v>874</v>
      </c>
      <c r="D153" s="337">
        <v>0.47</v>
      </c>
      <c r="E153" s="241">
        <f t="shared" si="27"/>
        <v>0.47</v>
      </c>
      <c r="F153" s="337"/>
      <c r="G153" s="337">
        <v>53.2</v>
      </c>
      <c r="H153" s="241">
        <f t="shared" si="23"/>
        <v>53.2</v>
      </c>
      <c r="J153" s="241">
        <v>37</v>
      </c>
      <c r="K153" s="241">
        <f t="shared" si="24"/>
        <v>37</v>
      </c>
      <c r="L153" s="339">
        <v>0</v>
      </c>
      <c r="M153" s="241">
        <f>(0.1-2)/2*100</f>
        <v>-95</v>
      </c>
      <c r="N153" s="130" t="s">
        <v>718</v>
      </c>
      <c r="Q153" s="241">
        <f>IF(H153&lt;60,'Berechnung-WÜ-Material'!$AL$110,IF(AND(H153&gt;=60,H153&lt;80),'Berechnung-WÜ-Material'!$AM$110,IF(AND('Daten-Materialien'!H153&gt;=80,'Daten-Materialien'!H153&lt;100),'Berechnung-WÜ-Material'!$AN$110,IF(AND(H153&gt;=100,H153&lt;120),'Berechnung-WÜ-Material'!$AO$110,IF(AND('Daten-Materialien'!H153&gt;=120,'Daten-Materialien'!H153&lt;140),'Berechnung-WÜ-Material'!$AP$110,IF('Daten-Materialien'!H153&gt;140,'Berechnung-WÜ-Material'!$AQ$110,"FEHLER"))))))</f>
        <v>2.2063369805171464</v>
      </c>
      <c r="R153" s="241">
        <f>IF(E153&lt;0.1,'Berechnung-WÜ-Material'!$AS$110,IF(AND(E153&gt;=0.1,E153&lt;0.3),'Berechnung-WÜ-Material'!$AT$110,IF(AND('Daten-Materialien'!E153&gt;=0.3,'Daten-Materialien'!E153&lt;0.6),'Berechnung-WÜ-Material'!$AU$110,IF(AND(E153&gt;=0.6,E153&lt;1),'Berechnung-WÜ-Material'!$AV$110,IF(AND('Daten-Materialien'!E153&gt;=1,'Daten-Materialien'!E153&lt;1.5),'Berechnung-WÜ-Material'!$AW$110,IF('Daten-Materialien'!E153&gt;1.5,'Berechnung-WÜ-Material'!$AX$110,"FEHLER"))))))</f>
        <v>7.4603395508911365</v>
      </c>
      <c r="S153" s="241">
        <f>IF(K153&lt;15,'Berechnung-WÜ-Material'!$AZ$110,IF(AND(K153&gt;=15,K153&lt;30),'Berechnung-WÜ-Material'!$BA$110,IF(AND('Daten-Materialien'!K153&gt;=30,'Daten-Materialien'!K153&lt;45),'Berechnung-WÜ-Material'!$BB$110,IF(AND(K153&gt;=45,K153&lt;60),'Berechnung-WÜ-Material'!$BC$110,IF(AND('Daten-Materialien'!K153&gt;=60,'Daten-Materialien'!K153&lt;75),'Berechnung-WÜ-Material'!$BD$110,IF('Daten-Materialien'!K153&gt;75,'Berechnung-WÜ-Material'!$BE$110,"FEHLER"))))))</f>
        <v>5.9436257603083487</v>
      </c>
      <c r="T153" s="241">
        <f>SUM(Q153:S153)+(L153*3*'Berechnung-WÜ-Material'!$G$22)</f>
        <v>15.610302291716632</v>
      </c>
      <c r="U153" s="241">
        <f t="shared" si="25"/>
        <v>46.704823307279575</v>
      </c>
      <c r="V153" s="241">
        <f>100/'Berechnung-WÜ-Material'!$BF$112*'Daten-Materialien'!T153</f>
        <v>76.197828027619494</v>
      </c>
      <c r="W153" s="241">
        <f t="shared" si="22"/>
        <v>74</v>
      </c>
      <c r="X153" s="241" t="str">
        <f t="shared" si="28"/>
        <v/>
      </c>
      <c r="Y153" s="241">
        <f t="shared" si="29"/>
        <v>1</v>
      </c>
      <c r="Z153" s="241" t="str">
        <f t="shared" si="30"/>
        <v/>
      </c>
      <c r="AB153" s="241" t="s">
        <v>715</v>
      </c>
    </row>
    <row r="154" spans="1:28" ht="39" x14ac:dyDescent="0.25">
      <c r="A154" s="241" t="str">
        <f t="shared" si="26"/>
        <v/>
      </c>
      <c r="B154" s="241" t="s">
        <v>876</v>
      </c>
      <c r="D154" s="337">
        <v>0.14499999999999999</v>
      </c>
      <c r="E154" s="241">
        <f t="shared" si="27"/>
        <v>0.14499999999999999</v>
      </c>
      <c r="G154" s="337">
        <v>66</v>
      </c>
      <c r="H154" s="241">
        <f t="shared" si="23"/>
        <v>66</v>
      </c>
      <c r="J154" s="241">
        <v>37.5</v>
      </c>
      <c r="K154" s="241">
        <f t="shared" si="24"/>
        <v>37.5</v>
      </c>
      <c r="L154" s="339">
        <v>0.5</v>
      </c>
      <c r="M154" s="241">
        <v>-100</v>
      </c>
      <c r="N154" s="130" t="s">
        <v>718</v>
      </c>
      <c r="Q154" s="241">
        <f>IF(H154&lt;60,'Berechnung-WÜ-Material'!$AL$110,IF(AND(H154&gt;=60,H154&lt;80),'Berechnung-WÜ-Material'!$AM$110,IF(AND('Daten-Materialien'!H154&gt;=80,'Daten-Materialien'!H154&lt;100),'Berechnung-WÜ-Material'!$AN$110,IF(AND(H154&gt;=100,H154&lt;120),'Berechnung-WÜ-Material'!$AO$110,IF(AND('Daten-Materialien'!H154&gt;=120,'Daten-Materialien'!H154&lt;140),'Berechnung-WÜ-Material'!$AP$110,IF('Daten-Materialien'!H154&gt;140,'Berechnung-WÜ-Material'!$AQ$110,"FEHLER"))))))</f>
        <v>1.4830749679207913</v>
      </c>
      <c r="R154" s="241">
        <f>IF(E154&lt;0.1,'Berechnung-WÜ-Material'!$AS$110,IF(AND(E154&gt;=0.1,E154&lt;0.3),'Berechnung-WÜ-Material'!$AT$110,IF(AND('Daten-Materialien'!E154&gt;=0.3,'Daten-Materialien'!E154&lt;0.6),'Berechnung-WÜ-Material'!$AU$110,IF(AND(E154&gt;=0.6,E154&lt;1),'Berechnung-WÜ-Material'!$AV$110,IF(AND('Daten-Materialien'!E154&gt;=1,'Daten-Materialien'!E154&lt;1.5),'Berechnung-WÜ-Material'!$AW$110,IF('Daten-Materialien'!E154&gt;1.5,'Berechnung-WÜ-Material'!$AX$110,"FEHLER"))))))</f>
        <v>8.1415883793382715</v>
      </c>
      <c r="S154" s="241">
        <f>IF(K154&lt;15,'Berechnung-WÜ-Material'!$AZ$110,IF(AND(K154&gt;=15,K154&lt;30),'Berechnung-WÜ-Material'!$BA$110,IF(AND('Daten-Materialien'!K154&gt;=30,'Daten-Materialien'!K154&lt;45),'Berechnung-WÜ-Material'!$BB$110,IF(AND(K154&gt;=45,K154&lt;60),'Berechnung-WÜ-Material'!$BC$110,IF(AND('Daten-Materialien'!K154&gt;=60,'Daten-Materialien'!K154&lt;75),'Berechnung-WÜ-Material'!$BD$110,IF('Daten-Materialien'!K154&gt;75,'Berechnung-WÜ-Material'!$BE$110,"FEHLER"))))))</f>
        <v>5.9436257603083487</v>
      </c>
      <c r="T154" s="241">
        <f>SUM(Q154:S154)+(L154*3*'Berechnung-WÜ-Material'!$G$22)</f>
        <v>16.396398901399259</v>
      </c>
      <c r="U154" s="241">
        <f t="shared" si="25"/>
        <v>49.616292232262964</v>
      </c>
      <c r="V154" s="241">
        <f>100/'Berechnung-WÜ-Material'!$BF$112*'Daten-Materialien'!T154</f>
        <v>80.034964116231691</v>
      </c>
      <c r="W154" s="241">
        <f t="shared" si="22"/>
        <v>37</v>
      </c>
      <c r="X154" s="241" t="str">
        <f t="shared" si="28"/>
        <v/>
      </c>
      <c r="Y154" s="241">
        <f t="shared" si="29"/>
        <v>1</v>
      </c>
      <c r="Z154" s="241" t="str">
        <f t="shared" si="30"/>
        <v/>
      </c>
      <c r="AB154" s="241" t="s">
        <v>707</v>
      </c>
    </row>
    <row r="155" spans="1:28" ht="26.25" x14ac:dyDescent="0.25">
      <c r="A155" s="241" t="str">
        <f t="shared" si="26"/>
        <v/>
      </c>
      <c r="B155" s="241" t="s">
        <v>878</v>
      </c>
      <c r="D155" s="339">
        <v>0.3</v>
      </c>
      <c r="E155" s="241">
        <f t="shared" si="27"/>
        <v>0.3</v>
      </c>
      <c r="G155" s="339">
        <v>41.6</v>
      </c>
      <c r="H155" s="241">
        <f t="shared" si="23"/>
        <v>41.6</v>
      </c>
      <c r="I155" s="339"/>
      <c r="J155" s="339">
        <v>22.6</v>
      </c>
      <c r="K155" s="241">
        <f t="shared" si="24"/>
        <v>22.6</v>
      </c>
      <c r="L155" s="339">
        <v>0</v>
      </c>
      <c r="M155" s="241">
        <v>0</v>
      </c>
      <c r="N155" s="130" t="s">
        <v>721</v>
      </c>
      <c r="Q155" s="241">
        <f>IF(H155&lt;60,'Berechnung-WÜ-Material'!$AL$110,IF(AND(H155&gt;=60,H155&lt;80),'Berechnung-WÜ-Material'!$AM$110,IF(AND('Daten-Materialien'!H155&gt;=80,'Daten-Materialien'!H155&lt;100),'Berechnung-WÜ-Material'!$AN$110,IF(AND(H155&gt;=100,H155&lt;120),'Berechnung-WÜ-Material'!$AO$110,IF(AND('Daten-Materialien'!H155&gt;=120,'Daten-Materialien'!H155&lt;140),'Berechnung-WÜ-Material'!$AP$110,IF('Daten-Materialien'!H155&gt;140,'Berechnung-WÜ-Material'!$AQ$110,"FEHLER"))))))</f>
        <v>2.2063369805171464</v>
      </c>
      <c r="R155" s="241">
        <f>IF(E155&lt;0.1,'Berechnung-WÜ-Material'!$AS$110,IF(AND(E155&gt;=0.1,E155&lt;0.3),'Berechnung-WÜ-Material'!$AT$110,IF(AND('Daten-Materialien'!E155&gt;=0.3,'Daten-Materialien'!E155&lt;0.6),'Berechnung-WÜ-Material'!$AU$110,IF(AND(E155&gt;=0.6,E155&lt;1),'Berechnung-WÜ-Material'!$AV$110,IF(AND('Daten-Materialien'!E155&gt;=1,'Daten-Materialien'!E155&lt;1.5),'Berechnung-WÜ-Material'!$AW$110,IF('Daten-Materialien'!E155&gt;1.5,'Berechnung-WÜ-Material'!$AX$110,"FEHLER"))))))</f>
        <v>7.4603395508911365</v>
      </c>
      <c r="S155" s="241">
        <f>IF(K155&lt;15,'Berechnung-WÜ-Material'!$AZ$110,IF(AND(K155&gt;=15,K155&lt;30),'Berechnung-WÜ-Material'!$BA$110,IF(AND('Daten-Materialien'!K155&gt;=30,'Daten-Materialien'!K155&lt;45),'Berechnung-WÜ-Material'!$BB$110,IF(AND(K155&gt;=45,K155&lt;60),'Berechnung-WÜ-Material'!$BC$110,IF(AND('Daten-Materialien'!K155&gt;=60,'Daten-Materialien'!K155&lt;75),'Berechnung-WÜ-Material'!$BD$110,IF('Daten-Materialien'!K155&gt;75,'Berechnung-WÜ-Material'!$BE$110,"FEHLER"))))))</f>
        <v>5.3164008462907759</v>
      </c>
      <c r="T155" s="241">
        <f>SUM(Q155:S155)+(L155*3*'Berechnung-WÜ-Material'!$G$22)</f>
        <v>14.983077377699059</v>
      </c>
      <c r="U155" s="241">
        <f t="shared" si="25"/>
        <v>44.381768069991615</v>
      </c>
      <c r="V155" s="241">
        <f>100/'Berechnung-WÜ-Material'!$BF$112*'Daten-Materialien'!T155</f>
        <v>73.136184810222602</v>
      </c>
      <c r="W155" s="241">
        <f t="shared" si="22"/>
        <v>99</v>
      </c>
      <c r="X155" s="241" t="str">
        <f t="shared" si="28"/>
        <v/>
      </c>
      <c r="Y155" s="241">
        <f t="shared" si="29"/>
        <v>1</v>
      </c>
      <c r="Z155" s="241" t="str">
        <f t="shared" si="30"/>
        <v/>
      </c>
      <c r="AB155" s="241" t="s">
        <v>777</v>
      </c>
    </row>
    <row r="156" spans="1:28" ht="26.25" x14ac:dyDescent="0.25">
      <c r="A156" s="241" t="str">
        <f t="shared" si="26"/>
        <v/>
      </c>
      <c r="B156" s="241" t="s">
        <v>722</v>
      </c>
      <c r="D156" s="339">
        <v>0.6</v>
      </c>
      <c r="E156" s="241">
        <f t="shared" si="27"/>
        <v>0.6</v>
      </c>
      <c r="G156" s="339">
        <v>10.4</v>
      </c>
      <c r="H156" s="241">
        <f t="shared" si="23"/>
        <v>10.4</v>
      </c>
      <c r="I156" s="339"/>
      <c r="J156" s="339">
        <v>28.9</v>
      </c>
      <c r="K156" s="241">
        <f t="shared" si="24"/>
        <v>28.9</v>
      </c>
      <c r="L156" s="339">
        <v>0.5</v>
      </c>
      <c r="M156" s="241">
        <f>(1.48-3.88)/3.88*100</f>
        <v>-61.855670103092784</v>
      </c>
      <c r="N156" s="130" t="s">
        <v>721</v>
      </c>
      <c r="Q156" s="241">
        <f>IF(H156&lt;60,'Berechnung-WÜ-Material'!$AL$110,IF(AND(H156&gt;=60,H156&lt;80),'Berechnung-WÜ-Material'!$AM$110,IF(AND('Daten-Materialien'!H156&gt;=80,'Daten-Materialien'!H156&lt;100),'Berechnung-WÜ-Material'!$AN$110,IF(AND(H156&gt;=100,H156&lt;120),'Berechnung-WÜ-Material'!$AO$110,IF(AND('Daten-Materialien'!H156&gt;=120,'Daten-Materialien'!H156&lt;140),'Berechnung-WÜ-Material'!$AP$110,IF('Daten-Materialien'!H156&gt;140,'Berechnung-WÜ-Material'!$AQ$110,"FEHLER"))))))</f>
        <v>2.2063369805171464</v>
      </c>
      <c r="R156" s="241">
        <f>IF(E156&lt;0.1,'Berechnung-WÜ-Material'!$AS$110,IF(AND(E156&gt;=0.1,E156&lt;0.3),'Berechnung-WÜ-Material'!$AT$110,IF(AND('Daten-Materialien'!E156&gt;=0.3,'Daten-Materialien'!E156&lt;0.6),'Berechnung-WÜ-Material'!$AU$110,IF(AND(E156&gt;=0.6,E156&lt;1),'Berechnung-WÜ-Material'!$AV$110,IF(AND('Daten-Materialien'!E156&gt;=1,'Daten-Materialien'!E156&lt;1.5),'Berechnung-WÜ-Material'!$AW$110,IF('Daten-Materialien'!E156&gt;1.5,'Berechnung-WÜ-Material'!$AX$110,"FEHLER"))))))</f>
        <v>7.3404134064714102</v>
      </c>
      <c r="S156" s="241">
        <f>IF(K156&lt;15,'Berechnung-WÜ-Material'!$AZ$110,IF(AND(K156&gt;=15,K156&lt;30),'Berechnung-WÜ-Material'!$BA$110,IF(AND('Daten-Materialien'!K156&gt;=30,'Daten-Materialien'!K156&lt;45),'Berechnung-WÜ-Material'!$BB$110,IF(AND(K156&gt;=45,K156&lt;60),'Berechnung-WÜ-Material'!$BC$110,IF(AND('Daten-Materialien'!K156&gt;=60,'Daten-Materialien'!K156&lt;75),'Berechnung-WÜ-Material'!$BD$110,IF('Daten-Materialien'!K156&gt;75,'Berechnung-WÜ-Material'!$BE$110,"FEHLER"))))))</f>
        <v>5.3164008462907759</v>
      </c>
      <c r="T156" s="241">
        <f>SUM(Q156:S156)+(L156*3*'Berechnung-WÜ-Material'!$G$22)</f>
        <v>15.69126102711118</v>
      </c>
      <c r="U156" s="241">
        <f t="shared" si="25"/>
        <v>47.004670475431524</v>
      </c>
      <c r="V156" s="241">
        <f>100/'Berechnung-WÜ-Material'!$BF$112*'Daten-Materialien'!T156</f>
        <v>76.593008062038223</v>
      </c>
      <c r="W156" s="241">
        <f t="shared" si="22"/>
        <v>73</v>
      </c>
      <c r="X156" s="241" t="str">
        <f t="shared" si="28"/>
        <v/>
      </c>
      <c r="Y156" s="241">
        <f t="shared" si="29"/>
        <v>1</v>
      </c>
      <c r="Z156" s="241" t="str">
        <f t="shared" si="30"/>
        <v/>
      </c>
      <c r="AB156" s="241" t="s">
        <v>767</v>
      </c>
    </row>
    <row r="157" spans="1:28" ht="26.25" x14ac:dyDescent="0.25">
      <c r="A157" s="241" t="str">
        <f t="shared" si="26"/>
        <v/>
      </c>
      <c r="B157" s="241" t="s">
        <v>723</v>
      </c>
      <c r="D157" s="339">
        <v>0.2</v>
      </c>
      <c r="E157" s="241">
        <f t="shared" si="27"/>
        <v>0.2</v>
      </c>
      <c r="G157" s="339">
        <v>38.4</v>
      </c>
      <c r="H157" s="241">
        <f t="shared" si="23"/>
        <v>38.4</v>
      </c>
      <c r="I157" s="339"/>
      <c r="J157" s="339">
        <v>22.8</v>
      </c>
      <c r="K157" s="241">
        <f t="shared" si="24"/>
        <v>22.8</v>
      </c>
      <c r="L157" s="339">
        <v>0.5</v>
      </c>
      <c r="M157" s="241">
        <f>(2-3.88)/3.88*100</f>
        <v>-48.453608247422679</v>
      </c>
      <c r="N157" s="130" t="s">
        <v>721</v>
      </c>
      <c r="Q157" s="241">
        <f>IF(H157&lt;60,'Berechnung-WÜ-Material'!$AL$110,IF(AND(H157&gt;=60,H157&lt;80),'Berechnung-WÜ-Material'!$AM$110,IF(AND('Daten-Materialien'!H157&gt;=80,'Daten-Materialien'!H157&lt;100),'Berechnung-WÜ-Material'!$AN$110,IF(AND(H157&gt;=100,H157&lt;120),'Berechnung-WÜ-Material'!$AO$110,IF(AND('Daten-Materialien'!H157&gt;=120,'Daten-Materialien'!H157&lt;140),'Berechnung-WÜ-Material'!$AP$110,IF('Daten-Materialien'!H157&gt;140,'Berechnung-WÜ-Material'!$AQ$110,"FEHLER"))))))</f>
        <v>2.2063369805171464</v>
      </c>
      <c r="R157" s="241">
        <f>IF(E157&lt;0.1,'Berechnung-WÜ-Material'!$AS$110,IF(AND(E157&gt;=0.1,E157&lt;0.3),'Berechnung-WÜ-Material'!$AT$110,IF(AND('Daten-Materialien'!E157&gt;=0.3,'Daten-Materialien'!E157&lt;0.6),'Berechnung-WÜ-Material'!$AU$110,IF(AND(E157&gt;=0.6,E157&lt;1),'Berechnung-WÜ-Material'!$AV$110,IF(AND('Daten-Materialien'!E157&gt;=1,'Daten-Materialien'!E157&lt;1.5),'Berechnung-WÜ-Material'!$AW$110,IF('Daten-Materialien'!E157&gt;1.5,'Berechnung-WÜ-Material'!$AX$110,"FEHLER"))))))</f>
        <v>8.1415883793382715</v>
      </c>
      <c r="S157" s="241">
        <f>IF(K157&lt;15,'Berechnung-WÜ-Material'!$AZ$110,IF(AND(K157&gt;=15,K157&lt;30),'Berechnung-WÜ-Material'!$BA$110,IF(AND('Daten-Materialien'!K157&gt;=30,'Daten-Materialien'!K157&lt;45),'Berechnung-WÜ-Material'!$BB$110,IF(AND(K157&gt;=45,K157&lt;60),'Berechnung-WÜ-Material'!$BC$110,IF(AND('Daten-Materialien'!K157&gt;=60,'Daten-Materialien'!K157&lt;75),'Berechnung-WÜ-Material'!$BD$110,IF('Daten-Materialien'!K157&gt;75,'Berechnung-WÜ-Material'!$BE$110,"FEHLER"))))))</f>
        <v>5.3164008462907759</v>
      </c>
      <c r="T157" s="241">
        <f>SUM(Q157:S157)+(L157*3*'Berechnung-WÜ-Material'!$G$22)</f>
        <v>16.492435999978042</v>
      </c>
      <c r="U157" s="241">
        <f t="shared" si="25"/>
        <v>49.971985189990619</v>
      </c>
      <c r="V157" s="241">
        <f>100/'Berechnung-WÜ-Material'!$BF$112*'Daten-Materialien'!T157</f>
        <v>80.50374544954775</v>
      </c>
      <c r="W157" s="241">
        <f t="shared" si="22"/>
        <v>26</v>
      </c>
      <c r="X157" s="241" t="str">
        <f t="shared" si="28"/>
        <v/>
      </c>
      <c r="Y157" s="241">
        <f t="shared" si="29"/>
        <v>1</v>
      </c>
      <c r="Z157" s="241" t="str">
        <f t="shared" si="30"/>
        <v/>
      </c>
      <c r="AB157" s="241" t="s">
        <v>650</v>
      </c>
    </row>
    <row r="158" spans="1:28" ht="26.25" x14ac:dyDescent="0.25">
      <c r="A158" s="241" t="str">
        <f t="shared" si="26"/>
        <v/>
      </c>
      <c r="B158" s="241" t="s">
        <v>724</v>
      </c>
      <c r="D158" s="339">
        <v>0.3</v>
      </c>
      <c r="E158" s="241">
        <f t="shared" si="27"/>
        <v>0.3</v>
      </c>
      <c r="G158" s="339">
        <v>19.5</v>
      </c>
      <c r="H158" s="241">
        <f t="shared" si="23"/>
        <v>19.5</v>
      </c>
      <c r="I158" s="339"/>
      <c r="J158" s="339">
        <v>30.6</v>
      </c>
      <c r="K158" s="241">
        <f t="shared" si="24"/>
        <v>30.6</v>
      </c>
      <c r="L158" s="339">
        <v>0</v>
      </c>
      <c r="M158" s="241">
        <f>(1-3.88)/3.88*100</f>
        <v>-74.226804123711347</v>
      </c>
      <c r="N158" s="130" t="s">
        <v>721</v>
      </c>
      <c r="Q158" s="241">
        <f>IF(H158&lt;60,'Berechnung-WÜ-Material'!$AL$110,IF(AND(H158&gt;=60,H158&lt;80),'Berechnung-WÜ-Material'!$AM$110,IF(AND('Daten-Materialien'!H158&gt;=80,'Daten-Materialien'!H158&lt;100),'Berechnung-WÜ-Material'!$AN$110,IF(AND(H158&gt;=100,H158&lt;120),'Berechnung-WÜ-Material'!$AO$110,IF(AND('Daten-Materialien'!H158&gt;=120,'Daten-Materialien'!H158&lt;140),'Berechnung-WÜ-Material'!$AP$110,IF('Daten-Materialien'!H158&gt;140,'Berechnung-WÜ-Material'!$AQ$110,"FEHLER"))))))</f>
        <v>2.2063369805171464</v>
      </c>
      <c r="R158" s="241">
        <f>IF(E158&lt;0.1,'Berechnung-WÜ-Material'!$AS$110,IF(AND(E158&gt;=0.1,E158&lt;0.3),'Berechnung-WÜ-Material'!$AT$110,IF(AND('Daten-Materialien'!E158&gt;=0.3,'Daten-Materialien'!E158&lt;0.6),'Berechnung-WÜ-Material'!$AU$110,IF(AND(E158&gt;=0.6,E158&lt;1),'Berechnung-WÜ-Material'!$AV$110,IF(AND('Daten-Materialien'!E158&gt;=1,'Daten-Materialien'!E158&lt;1.5),'Berechnung-WÜ-Material'!$AW$110,IF('Daten-Materialien'!E158&gt;1.5,'Berechnung-WÜ-Material'!$AX$110,"FEHLER"))))))</f>
        <v>7.4603395508911365</v>
      </c>
      <c r="S158" s="241">
        <f>IF(K158&lt;15,'Berechnung-WÜ-Material'!$AZ$110,IF(AND(K158&gt;=15,K158&lt;30),'Berechnung-WÜ-Material'!$BA$110,IF(AND('Daten-Materialien'!K158&gt;=30,'Daten-Materialien'!K158&lt;45),'Berechnung-WÜ-Material'!$BB$110,IF(AND(K158&gt;=45,K158&lt;60),'Berechnung-WÜ-Material'!$BC$110,IF(AND('Daten-Materialien'!K158&gt;=60,'Daten-Materialien'!K158&lt;75),'Berechnung-WÜ-Material'!$BD$110,IF('Daten-Materialien'!K158&gt;75,'Berechnung-WÜ-Material'!$BE$110,"FEHLER"))))))</f>
        <v>5.9436257603083487</v>
      </c>
      <c r="T158" s="241">
        <f>SUM(Q158:S158)+(L158*3*'Berechnung-WÜ-Material'!$G$22)</f>
        <v>15.610302291716632</v>
      </c>
      <c r="U158" s="241">
        <f t="shared" si="25"/>
        <v>46.704823307279575</v>
      </c>
      <c r="V158" s="241">
        <f>100/'Berechnung-WÜ-Material'!$BF$112*'Daten-Materialien'!T158</f>
        <v>76.197828027619494</v>
      </c>
      <c r="W158" s="241">
        <f t="shared" si="22"/>
        <v>74</v>
      </c>
      <c r="X158" s="241" t="str">
        <f t="shared" si="28"/>
        <v/>
      </c>
      <c r="Y158" s="241">
        <f t="shared" si="29"/>
        <v>1</v>
      </c>
      <c r="Z158" s="241" t="str">
        <f t="shared" si="30"/>
        <v/>
      </c>
      <c r="AB158" s="241" t="s">
        <v>649</v>
      </c>
    </row>
    <row r="159" spans="1:28" ht="39" x14ac:dyDescent="0.25">
      <c r="A159" s="241" t="str">
        <f t="shared" si="26"/>
        <v/>
      </c>
      <c r="B159" s="241" t="s">
        <v>725</v>
      </c>
      <c r="D159" s="337">
        <v>0.09</v>
      </c>
      <c r="E159" s="241">
        <f t="shared" si="27"/>
        <v>0.09</v>
      </c>
      <c r="G159" s="337">
        <v>83</v>
      </c>
      <c r="H159" s="241">
        <f t="shared" si="23"/>
        <v>83</v>
      </c>
      <c r="J159" s="339">
        <v>30</v>
      </c>
      <c r="K159" s="241">
        <f t="shared" si="24"/>
        <v>30</v>
      </c>
      <c r="L159" s="339">
        <v>0</v>
      </c>
      <c r="M159" s="241">
        <f>(0.2-1.6)/1.6*100</f>
        <v>-87.5</v>
      </c>
      <c r="N159" s="130" t="s">
        <v>726</v>
      </c>
      <c r="Q159" s="241">
        <f>IF(H159&lt;60,'Berechnung-WÜ-Material'!$AL$110,IF(AND(H159&gt;=60,H159&lt;80),'Berechnung-WÜ-Material'!$AM$110,IF(AND('Daten-Materialien'!H159&gt;=80,'Daten-Materialien'!H159&lt;100),'Berechnung-WÜ-Material'!$AN$110,IF(AND(H159&gt;=100,H159&lt;120),'Berechnung-WÜ-Material'!$AO$110,IF(AND('Daten-Materialien'!H159&gt;=120,'Daten-Materialien'!H159&lt;140),'Berechnung-WÜ-Material'!$AP$110,IF('Daten-Materialien'!H159&gt;140,'Berechnung-WÜ-Material'!$AQ$110,"FEHLER"))))))</f>
        <v>2.9517194566014666</v>
      </c>
      <c r="R159" s="241">
        <f>IF(E159&lt;0.1,'Berechnung-WÜ-Material'!$AS$110,IF(AND(E159&gt;=0.1,E159&lt;0.3),'Berechnung-WÜ-Material'!$AT$110,IF(AND('Daten-Materialien'!E159&gt;=0.3,'Daten-Materialien'!E159&lt;0.6),'Berechnung-WÜ-Material'!$AU$110,IF(AND(E159&gt;=0.6,E159&lt;1),'Berechnung-WÜ-Material'!$AV$110,IF(AND('Daten-Materialien'!E159&gt;=1,'Daten-Materialien'!E159&lt;1.5),'Berechnung-WÜ-Material'!$AW$110,IF('Daten-Materialien'!E159&gt;1.5,'Berechnung-WÜ-Material'!$AX$110,"FEHLER"))))))</f>
        <v>5.4090960472347849</v>
      </c>
      <c r="S159" s="241">
        <f>IF(K159&lt;15,'Berechnung-WÜ-Material'!$AZ$110,IF(AND(K159&gt;=15,K159&lt;30),'Berechnung-WÜ-Material'!$BA$110,IF(AND('Daten-Materialien'!K159&gt;=30,'Daten-Materialien'!K159&lt;45),'Berechnung-WÜ-Material'!$BB$110,IF(AND(K159&gt;=45,K159&lt;60),'Berechnung-WÜ-Material'!$BC$110,IF(AND('Daten-Materialien'!K159&gt;=60,'Daten-Materialien'!K159&lt;75),'Berechnung-WÜ-Material'!$BD$110,IF('Daten-Materialien'!K159&gt;75,'Berechnung-WÜ-Material'!$BE$110,"FEHLER"))))))</f>
        <v>5.9436257603083487</v>
      </c>
      <c r="T159" s="241">
        <f>SUM(Q159:S159)+(L159*3*'Berechnung-WÜ-Material'!$G$22)</f>
        <v>14.3044412641446</v>
      </c>
      <c r="U159" s="241">
        <f t="shared" si="25"/>
        <v>41.868300982551801</v>
      </c>
      <c r="V159" s="241">
        <f>100/'Berechnung-WÜ-Material'!$BF$112*'Daten-Materialien'!T159</f>
        <v>69.82359054346108</v>
      </c>
      <c r="W159" s="241">
        <f t="shared" si="22"/>
        <v>115</v>
      </c>
      <c r="X159" s="241" t="str">
        <f t="shared" si="28"/>
        <v/>
      </c>
      <c r="Y159" s="241">
        <f t="shared" si="29"/>
        <v>1</v>
      </c>
      <c r="Z159" s="241" t="str">
        <f t="shared" si="30"/>
        <v/>
      </c>
      <c r="AB159" s="241" t="s">
        <v>639</v>
      </c>
    </row>
    <row r="160" spans="1:28" ht="39" x14ac:dyDescent="0.25">
      <c r="A160" s="241" t="str">
        <f t="shared" si="26"/>
        <v/>
      </c>
      <c r="B160" s="241" t="s">
        <v>727</v>
      </c>
      <c r="D160" s="337">
        <v>0.15</v>
      </c>
      <c r="E160" s="241">
        <f t="shared" si="27"/>
        <v>0.15</v>
      </c>
      <c r="G160" s="337">
        <v>58</v>
      </c>
      <c r="H160" s="241">
        <f t="shared" si="23"/>
        <v>58</v>
      </c>
      <c r="J160" s="339">
        <v>48</v>
      </c>
      <c r="K160" s="241">
        <f t="shared" si="24"/>
        <v>48</v>
      </c>
      <c r="L160" s="339">
        <v>0</v>
      </c>
      <c r="M160" s="241">
        <f>(0.15-1.6)/1.6*100</f>
        <v>-90.625000000000014</v>
      </c>
      <c r="N160" s="130" t="s">
        <v>726</v>
      </c>
      <c r="Q160" s="241">
        <f>IF(H160&lt;60,'Berechnung-WÜ-Material'!$AL$110,IF(AND(H160&gt;=60,H160&lt;80),'Berechnung-WÜ-Material'!$AM$110,IF(AND('Daten-Materialien'!H160&gt;=80,'Daten-Materialien'!H160&lt;100),'Berechnung-WÜ-Material'!$AN$110,IF(AND(H160&gt;=100,H160&lt;120),'Berechnung-WÜ-Material'!$AO$110,IF(AND('Daten-Materialien'!H160&gt;=120,'Daten-Materialien'!H160&lt;140),'Berechnung-WÜ-Material'!$AP$110,IF('Daten-Materialien'!H160&gt;140,'Berechnung-WÜ-Material'!$AQ$110,"FEHLER"))))))</f>
        <v>2.2063369805171464</v>
      </c>
      <c r="R160" s="241">
        <f>IF(E160&lt;0.1,'Berechnung-WÜ-Material'!$AS$110,IF(AND(E160&gt;=0.1,E160&lt;0.3),'Berechnung-WÜ-Material'!$AT$110,IF(AND('Daten-Materialien'!E160&gt;=0.3,'Daten-Materialien'!E160&lt;0.6),'Berechnung-WÜ-Material'!$AU$110,IF(AND(E160&gt;=0.6,E160&lt;1),'Berechnung-WÜ-Material'!$AV$110,IF(AND('Daten-Materialien'!E160&gt;=1,'Daten-Materialien'!E160&lt;1.5),'Berechnung-WÜ-Material'!$AW$110,IF('Daten-Materialien'!E160&gt;1.5,'Berechnung-WÜ-Material'!$AX$110,"FEHLER"))))))</f>
        <v>8.1415883793382715</v>
      </c>
      <c r="S160" s="241">
        <f>IF(K160&lt;15,'Berechnung-WÜ-Material'!$AZ$110,IF(AND(K160&gt;=15,K160&lt;30),'Berechnung-WÜ-Material'!$BA$110,IF(AND('Daten-Materialien'!K160&gt;=30,'Daten-Materialien'!K160&lt;45),'Berechnung-WÜ-Material'!$BB$110,IF(AND(K160&gt;=45,K160&lt;60),'Berechnung-WÜ-Material'!$BC$110,IF(AND('Daten-Materialien'!K160&gt;=60,'Daten-Materialien'!K160&lt;75),'Berechnung-WÜ-Material'!$BD$110,IF('Daten-Materialien'!K160&gt;75,'Berechnung-WÜ-Material'!$BE$110,"FEHLER"))))))</f>
        <v>2.6681383364247617</v>
      </c>
      <c r="T160" s="241">
        <f>SUM(Q160:S160)+(L160*3*'Berechnung-WÜ-Material'!$G$22)</f>
        <v>13.016063696280181</v>
      </c>
      <c r="U160" s="241">
        <f t="shared" si="25"/>
        <v>37.096532212301838</v>
      </c>
      <c r="V160" s="241">
        <f>100/'Berechnung-WÜ-Material'!$BF$112*'Daten-Materialien'!T160</f>
        <v>63.534694241762367</v>
      </c>
      <c r="W160" s="241">
        <f t="shared" si="22"/>
        <v>165</v>
      </c>
      <c r="X160" s="241" t="str">
        <f t="shared" si="28"/>
        <v/>
      </c>
      <c r="Y160" s="241">
        <f t="shared" si="29"/>
        <v>1</v>
      </c>
      <c r="Z160" s="241" t="str">
        <f t="shared" si="30"/>
        <v/>
      </c>
      <c r="AB160" s="241" t="s">
        <v>717</v>
      </c>
    </row>
    <row r="161" spans="1:28" ht="39" x14ac:dyDescent="0.25">
      <c r="A161" s="241" t="str">
        <f t="shared" si="26"/>
        <v/>
      </c>
      <c r="B161" s="241" t="s">
        <v>728</v>
      </c>
      <c r="D161" s="337">
        <v>0.5</v>
      </c>
      <c r="E161" s="241">
        <f t="shared" si="27"/>
        <v>0.5</v>
      </c>
      <c r="F161" s="337"/>
      <c r="G161" s="337">
        <v>105</v>
      </c>
      <c r="H161" s="241">
        <f t="shared" si="23"/>
        <v>105</v>
      </c>
      <c r="J161" s="339">
        <v>60</v>
      </c>
      <c r="K161" s="241">
        <f t="shared" si="24"/>
        <v>60</v>
      </c>
      <c r="L161" s="339">
        <v>0</v>
      </c>
      <c r="M161" s="241">
        <f>(0.6-1.6)/1.6*100</f>
        <v>-62.5</v>
      </c>
      <c r="N161" s="130" t="s">
        <v>726</v>
      </c>
      <c r="Q161" s="241">
        <f>IF(H161&lt;60,'Berechnung-WÜ-Material'!$AL$110,IF(AND(H161&gt;=60,H161&lt;80),'Berechnung-WÜ-Material'!$AM$110,IF(AND('Daten-Materialien'!H161&gt;=80,'Daten-Materialien'!H161&lt;100),'Berechnung-WÜ-Material'!$AN$110,IF(AND(H161&gt;=100,H161&lt;120),'Berechnung-WÜ-Material'!$AO$110,IF(AND('Daten-Materialien'!H161&gt;=120,'Daten-Materialien'!H161&lt;140),'Berechnung-WÜ-Material'!$AP$110,IF('Daten-Materialien'!H161&gt;140,'Berechnung-WÜ-Material'!$AQ$110,"FEHLER"))))))</f>
        <v>3.4064092551223228</v>
      </c>
      <c r="R161" s="241">
        <f>IF(E161&lt;0.1,'Berechnung-WÜ-Material'!$AS$110,IF(AND(E161&gt;=0.1,E161&lt;0.3),'Berechnung-WÜ-Material'!$AT$110,IF(AND('Daten-Materialien'!E161&gt;=0.3,'Daten-Materialien'!E161&lt;0.6),'Berechnung-WÜ-Material'!$AU$110,IF(AND(E161&gt;=0.6,E161&lt;1),'Berechnung-WÜ-Material'!$AV$110,IF(AND('Daten-Materialien'!E161&gt;=1,'Daten-Materialien'!E161&lt;1.5),'Berechnung-WÜ-Material'!$AW$110,IF('Daten-Materialien'!E161&gt;1.5,'Berechnung-WÜ-Material'!$AX$110,"FEHLER"))))))</f>
        <v>7.4603395508911365</v>
      </c>
      <c r="S161" s="241">
        <f>IF(K161&lt;15,'Berechnung-WÜ-Material'!$AZ$110,IF(AND(K161&gt;=15,K161&lt;30),'Berechnung-WÜ-Material'!$BA$110,IF(AND('Daten-Materialien'!K161&gt;=30,'Daten-Materialien'!K161&lt;45),'Berechnung-WÜ-Material'!$BB$110,IF(AND(K161&gt;=45,K161&lt;60),'Berechnung-WÜ-Material'!$BC$110,IF(AND('Daten-Materialien'!K161&gt;=60,'Daten-Materialien'!K161&lt;75),'Berechnung-WÜ-Material'!$BD$110,IF('Daten-Materialien'!K161&gt;75,'Berechnung-WÜ-Material'!$BE$110,"FEHLER"))))))</f>
        <v>6.2037273307754397</v>
      </c>
      <c r="T161" s="241">
        <f>SUM(Q161:S161)+(L161*3*'Berechnung-WÜ-Material'!$G$22)</f>
        <v>17.070476136788898</v>
      </c>
      <c r="U161" s="241">
        <f t="shared" si="25"/>
        <v>52.112874585757652</v>
      </c>
      <c r="V161" s="241">
        <f>100/'Berechnung-WÜ-Material'!$BF$112*'Daten-Materialien'!T161</f>
        <v>83.32530534727934</v>
      </c>
      <c r="W161" s="241">
        <f t="shared" si="22"/>
        <v>12</v>
      </c>
      <c r="X161" s="241" t="str">
        <f t="shared" si="28"/>
        <v/>
      </c>
      <c r="Y161" s="241">
        <f t="shared" si="29"/>
        <v>1</v>
      </c>
      <c r="Z161" s="241" t="str">
        <f t="shared" si="30"/>
        <v/>
      </c>
      <c r="AB161" s="241" t="s">
        <v>809</v>
      </c>
    </row>
    <row r="162" spans="1:28" ht="39" x14ac:dyDescent="0.25">
      <c r="A162" s="241" t="str">
        <f t="shared" si="26"/>
        <v/>
      </c>
      <c r="B162" s="241" t="s">
        <v>729</v>
      </c>
      <c r="D162" s="337">
        <v>0.16</v>
      </c>
      <c r="E162" s="241">
        <f t="shared" si="27"/>
        <v>0.16</v>
      </c>
      <c r="G162" s="337">
        <v>40</v>
      </c>
      <c r="H162" s="241">
        <f t="shared" si="23"/>
        <v>40</v>
      </c>
      <c r="J162" s="339">
        <v>37</v>
      </c>
      <c r="K162" s="241">
        <f t="shared" si="24"/>
        <v>37</v>
      </c>
      <c r="L162" s="339">
        <v>0</v>
      </c>
      <c r="M162" s="241">
        <f>(0.58-1.6)/1.6*100</f>
        <v>-63.749999999999993</v>
      </c>
      <c r="N162" s="130" t="s">
        <v>726</v>
      </c>
      <c r="Q162" s="241">
        <f>IF(H162&lt;60,'Berechnung-WÜ-Material'!$AL$110,IF(AND(H162&gt;=60,H162&lt;80),'Berechnung-WÜ-Material'!$AM$110,IF(AND('Daten-Materialien'!H162&gt;=80,'Daten-Materialien'!H162&lt;100),'Berechnung-WÜ-Material'!$AN$110,IF(AND(H162&gt;=100,H162&lt;120),'Berechnung-WÜ-Material'!$AO$110,IF(AND('Daten-Materialien'!H162&gt;=120,'Daten-Materialien'!H162&lt;140),'Berechnung-WÜ-Material'!$AP$110,IF('Daten-Materialien'!H162&gt;140,'Berechnung-WÜ-Material'!$AQ$110,"FEHLER"))))))</f>
        <v>2.2063369805171464</v>
      </c>
      <c r="R162" s="241">
        <f>IF(E162&lt;0.1,'Berechnung-WÜ-Material'!$AS$110,IF(AND(E162&gt;=0.1,E162&lt;0.3),'Berechnung-WÜ-Material'!$AT$110,IF(AND('Daten-Materialien'!E162&gt;=0.3,'Daten-Materialien'!E162&lt;0.6),'Berechnung-WÜ-Material'!$AU$110,IF(AND(E162&gt;=0.6,E162&lt;1),'Berechnung-WÜ-Material'!$AV$110,IF(AND('Daten-Materialien'!E162&gt;=1,'Daten-Materialien'!E162&lt;1.5),'Berechnung-WÜ-Material'!$AW$110,IF('Daten-Materialien'!E162&gt;1.5,'Berechnung-WÜ-Material'!$AX$110,"FEHLER"))))))</f>
        <v>8.1415883793382715</v>
      </c>
      <c r="S162" s="241">
        <f>IF(K162&lt;15,'Berechnung-WÜ-Material'!$AZ$110,IF(AND(K162&gt;=15,K162&lt;30),'Berechnung-WÜ-Material'!$BA$110,IF(AND('Daten-Materialien'!K162&gt;=30,'Daten-Materialien'!K162&lt;45),'Berechnung-WÜ-Material'!$BB$110,IF(AND(K162&gt;=45,K162&lt;60),'Berechnung-WÜ-Material'!$BC$110,IF(AND('Daten-Materialien'!K162&gt;=60,'Daten-Materialien'!K162&lt;75),'Berechnung-WÜ-Material'!$BD$110,IF('Daten-Materialien'!K162&gt;75,'Berechnung-WÜ-Material'!$BE$110,"FEHLER"))))))</f>
        <v>5.9436257603083487</v>
      </c>
      <c r="T162" s="241">
        <f>SUM(Q162:S162)+(L162*3*'Berechnung-WÜ-Material'!$G$22)</f>
        <v>16.291551120163767</v>
      </c>
      <c r="U162" s="241">
        <f t="shared" si="25"/>
        <v>49.227967116544896</v>
      </c>
      <c r="V162" s="241">
        <f>100/'Berechnung-WÜ-Material'!$BF$112*'Daten-Materialien'!T162</f>
        <v>79.523175615640071</v>
      </c>
      <c r="W162" s="241">
        <f t="shared" si="22"/>
        <v>53</v>
      </c>
      <c r="X162" s="241" t="str">
        <f t="shared" si="28"/>
        <v/>
      </c>
      <c r="Y162" s="241">
        <f t="shared" si="29"/>
        <v>1</v>
      </c>
      <c r="Z162" s="241" t="str">
        <f t="shared" si="30"/>
        <v/>
      </c>
      <c r="AB162" s="241" t="s">
        <v>810</v>
      </c>
    </row>
    <row r="163" spans="1:28" ht="39" x14ac:dyDescent="0.25">
      <c r="A163" s="241" t="str">
        <f t="shared" si="26"/>
        <v/>
      </c>
      <c r="B163" s="241" t="s">
        <v>730</v>
      </c>
      <c r="D163" s="337">
        <v>0.16</v>
      </c>
      <c r="E163" s="241">
        <f t="shared" si="27"/>
        <v>0.16</v>
      </c>
      <c r="G163" s="337">
        <v>40</v>
      </c>
      <c r="H163" s="241">
        <f t="shared" si="23"/>
        <v>40</v>
      </c>
      <c r="J163" s="339">
        <v>38</v>
      </c>
      <c r="K163" s="241">
        <f t="shared" si="24"/>
        <v>38</v>
      </c>
      <c r="L163" s="339">
        <v>0</v>
      </c>
      <c r="M163" s="241">
        <f>(0.1-1.6)/1.6*100</f>
        <v>-93.75</v>
      </c>
      <c r="N163" s="130" t="s">
        <v>726</v>
      </c>
      <c r="Q163" s="241">
        <f>IF(H163&lt;60,'Berechnung-WÜ-Material'!$AL$110,IF(AND(H163&gt;=60,H163&lt;80),'Berechnung-WÜ-Material'!$AM$110,IF(AND('Daten-Materialien'!H163&gt;=80,'Daten-Materialien'!H163&lt;100),'Berechnung-WÜ-Material'!$AN$110,IF(AND(H163&gt;=100,H163&lt;120),'Berechnung-WÜ-Material'!$AO$110,IF(AND('Daten-Materialien'!H163&gt;=120,'Daten-Materialien'!H163&lt;140),'Berechnung-WÜ-Material'!$AP$110,IF('Daten-Materialien'!H163&gt;140,'Berechnung-WÜ-Material'!$AQ$110,"FEHLER"))))))</f>
        <v>2.2063369805171464</v>
      </c>
      <c r="R163" s="241">
        <f>IF(E163&lt;0.1,'Berechnung-WÜ-Material'!$AS$110,IF(AND(E163&gt;=0.1,E163&lt;0.3),'Berechnung-WÜ-Material'!$AT$110,IF(AND('Daten-Materialien'!E163&gt;=0.3,'Daten-Materialien'!E163&lt;0.6),'Berechnung-WÜ-Material'!$AU$110,IF(AND(E163&gt;=0.6,E163&lt;1),'Berechnung-WÜ-Material'!$AV$110,IF(AND('Daten-Materialien'!E163&gt;=1,'Daten-Materialien'!E163&lt;1.5),'Berechnung-WÜ-Material'!$AW$110,IF('Daten-Materialien'!E163&gt;1.5,'Berechnung-WÜ-Material'!$AX$110,"FEHLER"))))))</f>
        <v>8.1415883793382715</v>
      </c>
      <c r="S163" s="241">
        <f>IF(K163&lt;15,'Berechnung-WÜ-Material'!$AZ$110,IF(AND(K163&gt;=15,K163&lt;30),'Berechnung-WÜ-Material'!$BA$110,IF(AND('Daten-Materialien'!K163&gt;=30,'Daten-Materialien'!K163&lt;45),'Berechnung-WÜ-Material'!$BB$110,IF(AND(K163&gt;=45,K163&lt;60),'Berechnung-WÜ-Material'!$BC$110,IF(AND('Daten-Materialien'!K163&gt;=60,'Daten-Materialien'!K163&lt;75),'Berechnung-WÜ-Material'!$BD$110,IF('Daten-Materialien'!K163&gt;75,'Berechnung-WÜ-Material'!$BE$110,"FEHLER"))))))</f>
        <v>5.9436257603083487</v>
      </c>
      <c r="T163" s="241">
        <f>SUM(Q163:S163)+(L163*3*'Berechnung-WÜ-Material'!$G$22)</f>
        <v>16.291551120163767</v>
      </c>
      <c r="U163" s="241">
        <f t="shared" si="25"/>
        <v>49.227967116544896</v>
      </c>
      <c r="V163" s="241">
        <f>100/'Berechnung-WÜ-Material'!$BF$112*'Daten-Materialien'!T163</f>
        <v>79.523175615640071</v>
      </c>
      <c r="W163" s="241">
        <f t="shared" ref="W163:W194" si="31">RANK(V163,$V$2:$V$238)</f>
        <v>53</v>
      </c>
      <c r="X163" s="241" t="str">
        <f t="shared" si="28"/>
        <v/>
      </c>
      <c r="Y163" s="241">
        <f t="shared" si="29"/>
        <v>1</v>
      </c>
      <c r="Z163" s="241" t="str">
        <f t="shared" si="30"/>
        <v/>
      </c>
      <c r="AB163" s="241" t="s">
        <v>702</v>
      </c>
    </row>
    <row r="164" spans="1:28" ht="26.25" x14ac:dyDescent="0.25">
      <c r="A164" s="241" t="str">
        <f t="shared" si="26"/>
        <v/>
      </c>
      <c r="B164" s="241" t="s">
        <v>731</v>
      </c>
      <c r="C164" s="339"/>
      <c r="D164" s="337">
        <v>0.34</v>
      </c>
      <c r="E164" s="241">
        <f t="shared" si="27"/>
        <v>0.34</v>
      </c>
      <c r="F164" s="339"/>
      <c r="G164" s="339">
        <v>85.1</v>
      </c>
      <c r="H164" s="241">
        <f t="shared" si="23"/>
        <v>85.1</v>
      </c>
      <c r="I164" s="339"/>
      <c r="J164" s="339">
        <v>26.32</v>
      </c>
      <c r="K164" s="241">
        <f t="shared" si="24"/>
        <v>26.32</v>
      </c>
      <c r="L164" s="339">
        <v>0</v>
      </c>
      <c r="M164" s="241">
        <f>(24-27)/27*100</f>
        <v>-11.111111111111111</v>
      </c>
      <c r="N164" s="130" t="s">
        <v>732</v>
      </c>
      <c r="Q164" s="241">
        <f>IF(H164&lt;60,'Berechnung-WÜ-Material'!$AL$110,IF(AND(H164&gt;=60,H164&lt;80),'Berechnung-WÜ-Material'!$AM$110,IF(AND('Daten-Materialien'!H164&gt;=80,'Daten-Materialien'!H164&lt;100),'Berechnung-WÜ-Material'!$AN$110,IF(AND(H164&gt;=100,H164&lt;120),'Berechnung-WÜ-Material'!$AO$110,IF(AND('Daten-Materialien'!H164&gt;=120,'Daten-Materialien'!H164&lt;140),'Berechnung-WÜ-Material'!$AP$110,IF('Daten-Materialien'!H164&gt;140,'Berechnung-WÜ-Material'!$AQ$110,"FEHLER"))))))</f>
        <v>2.9517194566014666</v>
      </c>
      <c r="R164" s="241">
        <f>IF(E164&lt;0.1,'Berechnung-WÜ-Material'!$AS$110,IF(AND(E164&gt;=0.1,E164&lt;0.3),'Berechnung-WÜ-Material'!$AT$110,IF(AND('Daten-Materialien'!E164&gt;=0.3,'Daten-Materialien'!E164&lt;0.6),'Berechnung-WÜ-Material'!$AU$110,IF(AND(E164&gt;=0.6,E164&lt;1),'Berechnung-WÜ-Material'!$AV$110,IF(AND('Daten-Materialien'!E164&gt;=1,'Daten-Materialien'!E164&lt;1.5),'Berechnung-WÜ-Material'!$AW$110,IF('Daten-Materialien'!E164&gt;1.5,'Berechnung-WÜ-Material'!$AX$110,"FEHLER"))))))</f>
        <v>7.4603395508911365</v>
      </c>
      <c r="S164" s="241">
        <f>IF(K164&lt;15,'Berechnung-WÜ-Material'!$AZ$110,IF(AND(K164&gt;=15,K164&lt;30),'Berechnung-WÜ-Material'!$BA$110,IF(AND('Daten-Materialien'!K164&gt;=30,'Daten-Materialien'!K164&lt;45),'Berechnung-WÜ-Material'!$BB$110,IF(AND(K164&gt;=45,K164&lt;60),'Berechnung-WÜ-Material'!$BC$110,IF(AND('Daten-Materialien'!K164&gt;=60,'Daten-Materialien'!K164&lt;75),'Berechnung-WÜ-Material'!$BD$110,IF('Daten-Materialien'!K164&gt;75,'Berechnung-WÜ-Material'!$BE$110,"FEHLER"))))))</f>
        <v>5.3164008462907759</v>
      </c>
      <c r="T164" s="241">
        <f>SUM(Q164:S164)+(L164*3*'Berechnung-WÜ-Material'!$G$22)</f>
        <v>15.728459853783379</v>
      </c>
      <c r="U164" s="241">
        <f t="shared" si="25"/>
        <v>47.142443907561798</v>
      </c>
      <c r="V164" s="241">
        <f>100/'Berechnung-WÜ-Material'!$BF$112*'Daten-Materialien'!T164</f>
        <v>76.774584929969961</v>
      </c>
      <c r="W164" s="241">
        <f t="shared" si="31"/>
        <v>65</v>
      </c>
      <c r="X164" s="241" t="str">
        <f t="shared" si="28"/>
        <v/>
      </c>
      <c r="Y164" s="241">
        <f t="shared" si="29"/>
        <v>1</v>
      </c>
      <c r="Z164" s="241" t="str">
        <f t="shared" si="30"/>
        <v/>
      </c>
      <c r="AB164" s="241" t="s">
        <v>624</v>
      </c>
    </row>
    <row r="165" spans="1:28" ht="26.25" x14ac:dyDescent="0.25">
      <c r="A165" s="241" t="str">
        <f t="shared" si="26"/>
        <v/>
      </c>
      <c r="B165" s="241" t="s">
        <v>733</v>
      </c>
      <c r="C165" s="339"/>
      <c r="D165" s="337">
        <v>0.34</v>
      </c>
      <c r="E165" s="241">
        <f t="shared" si="27"/>
        <v>0.34</v>
      </c>
      <c r="F165" s="339"/>
      <c r="G165" s="339">
        <v>84.5</v>
      </c>
      <c r="H165" s="241">
        <f t="shared" si="23"/>
        <v>84.5</v>
      </c>
      <c r="I165" s="339"/>
      <c r="J165" s="339">
        <v>23.34</v>
      </c>
      <c r="K165" s="241">
        <f t="shared" si="24"/>
        <v>23.34</v>
      </c>
      <c r="L165" s="339">
        <v>0</v>
      </c>
      <c r="M165" s="241">
        <f>(22-27)/27*100</f>
        <v>-18.518518518518519</v>
      </c>
      <c r="N165" s="130" t="s">
        <v>732</v>
      </c>
      <c r="Q165" s="241">
        <f>IF(H165&lt;60,'Berechnung-WÜ-Material'!$AL$110,IF(AND(H165&gt;=60,H165&lt;80),'Berechnung-WÜ-Material'!$AM$110,IF(AND('Daten-Materialien'!H165&gt;=80,'Daten-Materialien'!H165&lt;100),'Berechnung-WÜ-Material'!$AN$110,IF(AND(H165&gt;=100,H165&lt;120),'Berechnung-WÜ-Material'!$AO$110,IF(AND('Daten-Materialien'!H165&gt;=120,'Daten-Materialien'!H165&lt;140),'Berechnung-WÜ-Material'!$AP$110,IF('Daten-Materialien'!H165&gt;140,'Berechnung-WÜ-Material'!$AQ$110,"FEHLER"))))))</f>
        <v>2.9517194566014666</v>
      </c>
      <c r="R165" s="241">
        <f>IF(E165&lt;0.1,'Berechnung-WÜ-Material'!$AS$110,IF(AND(E165&gt;=0.1,E165&lt;0.3),'Berechnung-WÜ-Material'!$AT$110,IF(AND('Daten-Materialien'!E165&gt;=0.3,'Daten-Materialien'!E165&lt;0.6),'Berechnung-WÜ-Material'!$AU$110,IF(AND(E165&gt;=0.6,E165&lt;1),'Berechnung-WÜ-Material'!$AV$110,IF(AND('Daten-Materialien'!E165&gt;=1,'Daten-Materialien'!E165&lt;1.5),'Berechnung-WÜ-Material'!$AW$110,IF('Daten-Materialien'!E165&gt;1.5,'Berechnung-WÜ-Material'!$AX$110,"FEHLER"))))))</f>
        <v>7.4603395508911365</v>
      </c>
      <c r="S165" s="241">
        <f>IF(K165&lt;15,'Berechnung-WÜ-Material'!$AZ$110,IF(AND(K165&gt;=15,K165&lt;30),'Berechnung-WÜ-Material'!$BA$110,IF(AND('Daten-Materialien'!K165&gt;=30,'Daten-Materialien'!K165&lt;45),'Berechnung-WÜ-Material'!$BB$110,IF(AND(K165&gt;=45,K165&lt;60),'Berechnung-WÜ-Material'!$BC$110,IF(AND('Daten-Materialien'!K165&gt;=60,'Daten-Materialien'!K165&lt;75),'Berechnung-WÜ-Material'!$BD$110,IF('Daten-Materialien'!K165&gt;75,'Berechnung-WÜ-Material'!$BE$110,"FEHLER"))))))</f>
        <v>5.3164008462907759</v>
      </c>
      <c r="T165" s="241">
        <f>SUM(Q165:S165)+(L165*3*'Berechnung-WÜ-Material'!$G$22)</f>
        <v>15.728459853783379</v>
      </c>
      <c r="U165" s="241">
        <f t="shared" si="25"/>
        <v>47.142443907561798</v>
      </c>
      <c r="V165" s="241">
        <f>100/'Berechnung-WÜ-Material'!$BF$112*'Daten-Materialien'!T165</f>
        <v>76.774584929969961</v>
      </c>
      <c r="W165" s="241">
        <f t="shared" si="31"/>
        <v>65</v>
      </c>
      <c r="X165" s="241" t="str">
        <f t="shared" si="28"/>
        <v/>
      </c>
      <c r="Y165" s="241">
        <f t="shared" si="29"/>
        <v>1</v>
      </c>
      <c r="Z165" s="241" t="str">
        <f t="shared" si="30"/>
        <v/>
      </c>
      <c r="AB165" s="241" t="s">
        <v>801</v>
      </c>
    </row>
    <row r="166" spans="1:28" ht="26.25" customHeight="1" x14ac:dyDescent="0.25">
      <c r="A166" s="241" t="str">
        <f t="shared" si="26"/>
        <v/>
      </c>
      <c r="B166" s="241" t="s">
        <v>879</v>
      </c>
      <c r="C166" s="339"/>
      <c r="D166" s="337">
        <v>0.2</v>
      </c>
      <c r="E166" s="241">
        <f t="shared" si="27"/>
        <v>0.2</v>
      </c>
      <c r="F166" s="339"/>
      <c r="G166" s="339">
        <v>79.900000000000006</v>
      </c>
      <c r="H166" s="241">
        <f t="shared" si="23"/>
        <v>79.900000000000006</v>
      </c>
      <c r="I166" s="339"/>
      <c r="J166" s="339">
        <v>34.9</v>
      </c>
      <c r="K166" s="241">
        <f t="shared" si="24"/>
        <v>34.9</v>
      </c>
      <c r="L166" s="339">
        <v>0.5</v>
      </c>
      <c r="M166" s="241">
        <f>(0.5-27)/27*100</f>
        <v>-98.148148148148152</v>
      </c>
      <c r="N166" s="130" t="s">
        <v>732</v>
      </c>
      <c r="Q166" s="241">
        <f>IF(H166&lt;60,'Berechnung-WÜ-Material'!$AL$110,IF(AND(H166&gt;=60,H166&lt;80),'Berechnung-WÜ-Material'!$AM$110,IF(AND('Daten-Materialien'!H166&gt;=80,'Daten-Materialien'!H166&lt;100),'Berechnung-WÜ-Material'!$AN$110,IF(AND(H166&gt;=100,H166&lt;120),'Berechnung-WÜ-Material'!$AO$110,IF(AND('Daten-Materialien'!H166&gt;=120,'Daten-Materialien'!H166&lt;140),'Berechnung-WÜ-Material'!$AP$110,IF('Daten-Materialien'!H166&gt;140,'Berechnung-WÜ-Material'!$AQ$110,"FEHLER"))))))</f>
        <v>1.4830749679207913</v>
      </c>
      <c r="R166" s="241">
        <f>IF(E166&lt;0.1,'Berechnung-WÜ-Material'!$AS$110,IF(AND(E166&gt;=0.1,E166&lt;0.3),'Berechnung-WÜ-Material'!$AT$110,IF(AND('Daten-Materialien'!E166&gt;=0.3,'Daten-Materialien'!E166&lt;0.6),'Berechnung-WÜ-Material'!$AU$110,IF(AND(E166&gt;=0.6,E166&lt;1),'Berechnung-WÜ-Material'!$AV$110,IF(AND('Daten-Materialien'!E166&gt;=1,'Daten-Materialien'!E166&lt;1.5),'Berechnung-WÜ-Material'!$AW$110,IF('Daten-Materialien'!E166&gt;1.5,'Berechnung-WÜ-Material'!$AX$110,"FEHLER"))))))</f>
        <v>8.1415883793382715</v>
      </c>
      <c r="S166" s="241">
        <f>IF(K166&lt;15,'Berechnung-WÜ-Material'!$AZ$110,IF(AND(K166&gt;=15,K166&lt;30),'Berechnung-WÜ-Material'!$BA$110,IF(AND('Daten-Materialien'!K166&gt;=30,'Daten-Materialien'!K166&lt;45),'Berechnung-WÜ-Material'!$BB$110,IF(AND(K166&gt;=45,K166&lt;60),'Berechnung-WÜ-Material'!$BC$110,IF(AND('Daten-Materialien'!K166&gt;=60,'Daten-Materialien'!K166&lt;75),'Berechnung-WÜ-Material'!$BD$110,IF('Daten-Materialien'!K166&gt;75,'Berechnung-WÜ-Material'!$BE$110,"FEHLER"))))))</f>
        <v>5.9436257603083487</v>
      </c>
      <c r="T166" s="241">
        <f>SUM(Q166:S166)+(L166*3*'Berechnung-WÜ-Material'!$G$22)</f>
        <v>16.396398901399259</v>
      </c>
      <c r="U166" s="241">
        <f t="shared" si="25"/>
        <v>49.616292232262964</v>
      </c>
      <c r="V166" s="241">
        <f>100/'Berechnung-WÜ-Material'!$BF$112*'Daten-Materialien'!T166</f>
        <v>80.034964116231691</v>
      </c>
      <c r="W166" s="241">
        <f t="shared" si="31"/>
        <v>37</v>
      </c>
      <c r="X166" s="241" t="str">
        <f t="shared" si="28"/>
        <v/>
      </c>
      <c r="Y166" s="241">
        <f t="shared" si="29"/>
        <v>1</v>
      </c>
      <c r="Z166" s="241" t="str">
        <f t="shared" si="30"/>
        <v/>
      </c>
      <c r="AB166" s="241" t="s">
        <v>668</v>
      </c>
    </row>
    <row r="167" spans="1:28" ht="26.25" x14ac:dyDescent="0.25">
      <c r="A167" s="241" t="str">
        <f t="shared" si="26"/>
        <v/>
      </c>
      <c r="B167" s="241" t="s">
        <v>734</v>
      </c>
      <c r="C167" s="339"/>
      <c r="D167" s="337">
        <v>0.14499999999999999</v>
      </c>
      <c r="E167" s="241">
        <f t="shared" si="27"/>
        <v>0.14499999999999999</v>
      </c>
      <c r="F167" s="339"/>
      <c r="G167" s="339">
        <v>90</v>
      </c>
      <c r="H167" s="241">
        <f t="shared" si="23"/>
        <v>90</v>
      </c>
      <c r="I167" s="339"/>
      <c r="J167" s="339">
        <v>35.6</v>
      </c>
      <c r="K167" s="241">
        <f t="shared" si="24"/>
        <v>35.6</v>
      </c>
      <c r="L167" s="339">
        <v>0</v>
      </c>
      <c r="M167" s="241">
        <f>(1-27)/27*100</f>
        <v>-96.296296296296291</v>
      </c>
      <c r="N167" s="130" t="s">
        <v>732</v>
      </c>
      <c r="Q167" s="241">
        <f>IF(H167&lt;60,'Berechnung-WÜ-Material'!$AL$110,IF(AND(H167&gt;=60,H167&lt;80),'Berechnung-WÜ-Material'!$AM$110,IF(AND('Daten-Materialien'!H167&gt;=80,'Daten-Materialien'!H167&lt;100),'Berechnung-WÜ-Material'!$AN$110,IF(AND(H167&gt;=100,H167&lt;120),'Berechnung-WÜ-Material'!$AO$110,IF(AND('Daten-Materialien'!H167&gt;=120,'Daten-Materialien'!H167&lt;140),'Berechnung-WÜ-Material'!$AP$110,IF('Daten-Materialien'!H167&gt;140,'Berechnung-WÜ-Material'!$AQ$110,"FEHLER"))))))</f>
        <v>2.9517194566014666</v>
      </c>
      <c r="R167" s="241">
        <f>IF(E167&lt;0.1,'Berechnung-WÜ-Material'!$AS$110,IF(AND(E167&gt;=0.1,E167&lt;0.3),'Berechnung-WÜ-Material'!$AT$110,IF(AND('Daten-Materialien'!E167&gt;=0.3,'Daten-Materialien'!E167&lt;0.6),'Berechnung-WÜ-Material'!$AU$110,IF(AND(E167&gt;=0.6,E167&lt;1),'Berechnung-WÜ-Material'!$AV$110,IF(AND('Daten-Materialien'!E167&gt;=1,'Daten-Materialien'!E167&lt;1.5),'Berechnung-WÜ-Material'!$AW$110,IF('Daten-Materialien'!E167&gt;1.5,'Berechnung-WÜ-Material'!$AX$110,"FEHLER"))))))</f>
        <v>8.1415883793382715</v>
      </c>
      <c r="S167" s="241">
        <f>IF(K167&lt;15,'Berechnung-WÜ-Material'!$AZ$110,IF(AND(K167&gt;=15,K167&lt;30),'Berechnung-WÜ-Material'!$BA$110,IF(AND('Daten-Materialien'!K167&gt;=30,'Daten-Materialien'!K167&lt;45),'Berechnung-WÜ-Material'!$BB$110,IF(AND(K167&gt;=45,K167&lt;60),'Berechnung-WÜ-Material'!$BC$110,IF(AND('Daten-Materialien'!K167&gt;=60,'Daten-Materialien'!K167&lt;75),'Berechnung-WÜ-Material'!$BD$110,IF('Daten-Materialien'!K167&gt;75,'Berechnung-WÜ-Material'!$BE$110,"FEHLER"))))))</f>
        <v>5.9436257603083487</v>
      </c>
      <c r="T167" s="241">
        <f>SUM(Q167:S167)+(L167*3*'Berechnung-WÜ-Material'!$G$22)</f>
        <v>17.036933596248087</v>
      </c>
      <c r="U167" s="241">
        <f t="shared" si="25"/>
        <v>51.988642954115079</v>
      </c>
      <c r="V167" s="241">
        <f>100/'Berechnung-WÜ-Material'!$BF$112*'Daten-Materialien'!T167</f>
        <v>83.16157573538743</v>
      </c>
      <c r="W167" s="241">
        <f t="shared" si="31"/>
        <v>13</v>
      </c>
      <c r="X167" s="241" t="str">
        <f t="shared" si="28"/>
        <v/>
      </c>
      <c r="Y167" s="241">
        <f t="shared" si="29"/>
        <v>1</v>
      </c>
      <c r="Z167" s="241" t="str">
        <f t="shared" si="30"/>
        <v/>
      </c>
      <c r="AB167" s="241" t="s">
        <v>676</v>
      </c>
    </row>
    <row r="168" spans="1:28" ht="26.25" x14ac:dyDescent="0.25">
      <c r="A168" s="241" t="str">
        <f t="shared" si="26"/>
        <v/>
      </c>
      <c r="B168" s="241" t="s">
        <v>735</v>
      </c>
      <c r="C168" s="339"/>
      <c r="D168" s="337">
        <v>0.14499999999999999</v>
      </c>
      <c r="E168" s="241">
        <f t="shared" si="27"/>
        <v>0.14499999999999999</v>
      </c>
      <c r="F168" s="339"/>
      <c r="G168" s="339">
        <v>85.8</v>
      </c>
      <c r="H168" s="241">
        <f t="shared" si="23"/>
        <v>85.8</v>
      </c>
      <c r="I168" s="339"/>
      <c r="J168" s="339">
        <v>37.65</v>
      </c>
      <c r="K168" s="241">
        <f t="shared" si="24"/>
        <v>37.65</v>
      </c>
      <c r="L168" s="339">
        <v>0</v>
      </c>
      <c r="M168" s="241">
        <f>(1-27)/27*100</f>
        <v>-96.296296296296291</v>
      </c>
      <c r="N168" s="130" t="s">
        <v>732</v>
      </c>
      <c r="Q168" s="241">
        <f>IF(H168&lt;60,'Berechnung-WÜ-Material'!$AL$110,IF(AND(H168&gt;=60,H168&lt;80),'Berechnung-WÜ-Material'!$AM$110,IF(AND('Daten-Materialien'!H168&gt;=80,'Daten-Materialien'!H168&lt;100),'Berechnung-WÜ-Material'!$AN$110,IF(AND(H168&gt;=100,H168&lt;120),'Berechnung-WÜ-Material'!$AO$110,IF(AND('Daten-Materialien'!H168&gt;=120,'Daten-Materialien'!H168&lt;140),'Berechnung-WÜ-Material'!$AP$110,IF('Daten-Materialien'!H168&gt;140,'Berechnung-WÜ-Material'!$AQ$110,"FEHLER"))))))</f>
        <v>2.9517194566014666</v>
      </c>
      <c r="R168" s="241">
        <f>IF(E168&lt;0.1,'Berechnung-WÜ-Material'!$AS$110,IF(AND(E168&gt;=0.1,E168&lt;0.3),'Berechnung-WÜ-Material'!$AT$110,IF(AND('Daten-Materialien'!E168&gt;=0.3,'Daten-Materialien'!E168&lt;0.6),'Berechnung-WÜ-Material'!$AU$110,IF(AND(E168&gt;=0.6,E168&lt;1),'Berechnung-WÜ-Material'!$AV$110,IF(AND('Daten-Materialien'!E168&gt;=1,'Daten-Materialien'!E168&lt;1.5),'Berechnung-WÜ-Material'!$AW$110,IF('Daten-Materialien'!E168&gt;1.5,'Berechnung-WÜ-Material'!$AX$110,"FEHLER"))))))</f>
        <v>8.1415883793382715</v>
      </c>
      <c r="S168" s="241">
        <f>IF(K168&lt;15,'Berechnung-WÜ-Material'!$AZ$110,IF(AND(K168&gt;=15,K168&lt;30),'Berechnung-WÜ-Material'!$BA$110,IF(AND('Daten-Materialien'!K168&gt;=30,'Daten-Materialien'!K168&lt;45),'Berechnung-WÜ-Material'!$BB$110,IF(AND(K168&gt;=45,K168&lt;60),'Berechnung-WÜ-Material'!$BC$110,IF(AND('Daten-Materialien'!K168&gt;=60,'Daten-Materialien'!K168&lt;75),'Berechnung-WÜ-Material'!$BD$110,IF('Daten-Materialien'!K168&gt;75,'Berechnung-WÜ-Material'!$BE$110,"FEHLER"))))))</f>
        <v>5.9436257603083487</v>
      </c>
      <c r="T168" s="241">
        <f>SUM(Q168:S168)+(L168*3*'Berechnung-WÜ-Material'!$G$22)</f>
        <v>17.036933596248087</v>
      </c>
      <c r="U168" s="241">
        <f t="shared" si="25"/>
        <v>51.988642954115079</v>
      </c>
      <c r="V168" s="241">
        <f>100/'Berechnung-WÜ-Material'!$BF$112*'Daten-Materialien'!T168</f>
        <v>83.16157573538743</v>
      </c>
      <c r="W168" s="241">
        <f t="shared" si="31"/>
        <v>13</v>
      </c>
      <c r="X168" s="241" t="str">
        <f t="shared" si="28"/>
        <v/>
      </c>
      <c r="Y168" s="241">
        <f t="shared" si="29"/>
        <v>1</v>
      </c>
      <c r="Z168" s="241" t="str">
        <f t="shared" si="30"/>
        <v/>
      </c>
      <c r="AB168" s="241" t="s">
        <v>677</v>
      </c>
    </row>
    <row r="169" spans="1:28" ht="26.25" x14ac:dyDescent="0.25">
      <c r="A169" s="241" t="str">
        <f t="shared" si="26"/>
        <v/>
      </c>
      <c r="B169" s="241" t="s">
        <v>736</v>
      </c>
      <c r="C169" s="339"/>
      <c r="D169" s="337">
        <v>0.14499999999999999</v>
      </c>
      <c r="E169" s="241">
        <f t="shared" si="27"/>
        <v>0.14499999999999999</v>
      </c>
      <c r="F169" s="339"/>
      <c r="G169" s="339">
        <v>77.3</v>
      </c>
      <c r="H169" s="241">
        <f t="shared" si="23"/>
        <v>77.3</v>
      </c>
      <c r="I169" s="339"/>
      <c r="J169" s="339">
        <v>40.68</v>
      </c>
      <c r="K169" s="241">
        <f t="shared" si="24"/>
        <v>40.68</v>
      </c>
      <c r="L169" s="339">
        <v>0</v>
      </c>
      <c r="M169" s="241">
        <f>(6.5-27)/27*100</f>
        <v>-75.925925925925924</v>
      </c>
      <c r="N169" s="130" t="s">
        <v>732</v>
      </c>
      <c r="Q169" s="241">
        <f>IF(H169&lt;60,'Berechnung-WÜ-Material'!$AL$110,IF(AND(H169&gt;=60,H169&lt;80),'Berechnung-WÜ-Material'!$AM$110,IF(AND('Daten-Materialien'!H169&gt;=80,'Daten-Materialien'!H169&lt;100),'Berechnung-WÜ-Material'!$AN$110,IF(AND(H169&gt;=100,H169&lt;120),'Berechnung-WÜ-Material'!$AO$110,IF(AND('Daten-Materialien'!H169&gt;=120,'Daten-Materialien'!H169&lt;140),'Berechnung-WÜ-Material'!$AP$110,IF('Daten-Materialien'!H169&gt;140,'Berechnung-WÜ-Material'!$AQ$110,"FEHLER"))))))</f>
        <v>1.4830749679207913</v>
      </c>
      <c r="R169" s="241">
        <f>IF(E169&lt;0.1,'Berechnung-WÜ-Material'!$AS$110,IF(AND(E169&gt;=0.1,E169&lt;0.3),'Berechnung-WÜ-Material'!$AT$110,IF(AND('Daten-Materialien'!E169&gt;=0.3,'Daten-Materialien'!E169&lt;0.6),'Berechnung-WÜ-Material'!$AU$110,IF(AND(E169&gt;=0.6,E169&lt;1),'Berechnung-WÜ-Material'!$AV$110,IF(AND('Daten-Materialien'!E169&gt;=1,'Daten-Materialien'!E169&lt;1.5),'Berechnung-WÜ-Material'!$AW$110,IF('Daten-Materialien'!E169&gt;1.5,'Berechnung-WÜ-Material'!$AX$110,"FEHLER"))))))</f>
        <v>8.1415883793382715</v>
      </c>
      <c r="S169" s="241">
        <f>IF(K169&lt;15,'Berechnung-WÜ-Material'!$AZ$110,IF(AND(K169&gt;=15,K169&lt;30),'Berechnung-WÜ-Material'!$BA$110,IF(AND('Daten-Materialien'!K169&gt;=30,'Daten-Materialien'!K169&lt;45),'Berechnung-WÜ-Material'!$BB$110,IF(AND(K169&gt;=45,K169&lt;60),'Berechnung-WÜ-Material'!$BC$110,IF(AND('Daten-Materialien'!K169&gt;=60,'Daten-Materialien'!K169&lt;75),'Berechnung-WÜ-Material'!$BD$110,IF('Daten-Materialien'!K169&gt;75,'Berechnung-WÜ-Material'!$BE$110,"FEHLER"))))))</f>
        <v>5.9436257603083487</v>
      </c>
      <c r="T169" s="241">
        <f>SUM(Q169:S169)+(L169*3*'Berechnung-WÜ-Material'!$G$22)</f>
        <v>15.568289107567411</v>
      </c>
      <c r="U169" s="241">
        <f t="shared" si="25"/>
        <v>46.549218921529274</v>
      </c>
      <c r="V169" s="241">
        <f>100/'Berechnung-WÜ-Material'!$BF$112*'Daten-Materialien'!T169</f>
        <v>75.99275106492712</v>
      </c>
      <c r="W169" s="241">
        <f t="shared" si="31"/>
        <v>80</v>
      </c>
      <c r="X169" s="241" t="str">
        <f t="shared" si="28"/>
        <v/>
      </c>
      <c r="Y169" s="241">
        <f t="shared" si="29"/>
        <v>1</v>
      </c>
      <c r="Z169" s="241" t="str">
        <f t="shared" si="30"/>
        <v/>
      </c>
      <c r="AB169" s="241" t="s">
        <v>897</v>
      </c>
    </row>
    <row r="170" spans="1:28" ht="26.25" customHeight="1" x14ac:dyDescent="0.25">
      <c r="A170" s="241" t="str">
        <f t="shared" si="26"/>
        <v/>
      </c>
      <c r="B170" s="241" t="s">
        <v>737</v>
      </c>
      <c r="C170" s="339"/>
      <c r="D170" s="337">
        <v>0.14499999999999999</v>
      </c>
      <c r="E170" s="241">
        <f t="shared" si="27"/>
        <v>0.14499999999999999</v>
      </c>
      <c r="F170" s="339"/>
      <c r="G170" s="339">
        <v>85.9</v>
      </c>
      <c r="H170" s="241">
        <f t="shared" si="23"/>
        <v>85.9</v>
      </c>
      <c r="I170" s="339"/>
      <c r="J170" s="339">
        <v>34.380000000000003</v>
      </c>
      <c r="K170" s="241">
        <f t="shared" si="24"/>
        <v>34.380000000000003</v>
      </c>
      <c r="L170" s="339">
        <v>0</v>
      </c>
      <c r="M170" s="241">
        <f>(2-27)/27*100</f>
        <v>-92.592592592592595</v>
      </c>
      <c r="N170" s="130" t="s">
        <v>732</v>
      </c>
      <c r="Q170" s="241">
        <f>IF(H170&lt;60,'Berechnung-WÜ-Material'!$AL$110,IF(AND(H170&gt;=60,H170&lt;80),'Berechnung-WÜ-Material'!$AM$110,IF(AND('Daten-Materialien'!H170&gt;=80,'Daten-Materialien'!H170&lt;100),'Berechnung-WÜ-Material'!$AN$110,IF(AND(H170&gt;=100,H170&lt;120),'Berechnung-WÜ-Material'!$AO$110,IF(AND('Daten-Materialien'!H170&gt;=120,'Daten-Materialien'!H170&lt;140),'Berechnung-WÜ-Material'!$AP$110,IF('Daten-Materialien'!H170&gt;140,'Berechnung-WÜ-Material'!$AQ$110,"FEHLER"))))))</f>
        <v>2.9517194566014666</v>
      </c>
      <c r="R170" s="241">
        <f>IF(E170&lt;0.1,'Berechnung-WÜ-Material'!$AS$110,IF(AND(E170&gt;=0.1,E170&lt;0.3),'Berechnung-WÜ-Material'!$AT$110,IF(AND('Daten-Materialien'!E170&gt;=0.3,'Daten-Materialien'!E170&lt;0.6),'Berechnung-WÜ-Material'!$AU$110,IF(AND(E170&gt;=0.6,E170&lt;1),'Berechnung-WÜ-Material'!$AV$110,IF(AND('Daten-Materialien'!E170&gt;=1,'Daten-Materialien'!E170&lt;1.5),'Berechnung-WÜ-Material'!$AW$110,IF('Daten-Materialien'!E170&gt;1.5,'Berechnung-WÜ-Material'!$AX$110,"FEHLER"))))))</f>
        <v>8.1415883793382715</v>
      </c>
      <c r="S170" s="241">
        <f>IF(K170&lt;15,'Berechnung-WÜ-Material'!$AZ$110,IF(AND(K170&gt;=15,K170&lt;30),'Berechnung-WÜ-Material'!$BA$110,IF(AND('Daten-Materialien'!K170&gt;=30,'Daten-Materialien'!K170&lt;45),'Berechnung-WÜ-Material'!$BB$110,IF(AND(K170&gt;=45,K170&lt;60),'Berechnung-WÜ-Material'!$BC$110,IF(AND('Daten-Materialien'!K170&gt;=60,'Daten-Materialien'!K170&lt;75),'Berechnung-WÜ-Material'!$BD$110,IF('Daten-Materialien'!K170&gt;75,'Berechnung-WÜ-Material'!$BE$110,"FEHLER"))))))</f>
        <v>5.9436257603083487</v>
      </c>
      <c r="T170" s="241">
        <f>SUM(Q170:S170)+(L170*3*'Berechnung-WÜ-Material'!$G$22)</f>
        <v>17.036933596248087</v>
      </c>
      <c r="U170" s="241">
        <f t="shared" si="25"/>
        <v>51.988642954115079</v>
      </c>
      <c r="V170" s="241">
        <f>100/'Berechnung-WÜ-Material'!$BF$112*'Daten-Materialien'!T170</f>
        <v>83.16157573538743</v>
      </c>
      <c r="W170" s="241">
        <f t="shared" si="31"/>
        <v>13</v>
      </c>
      <c r="X170" s="241" t="str">
        <f t="shared" si="28"/>
        <v/>
      </c>
      <c r="Y170" s="241">
        <f t="shared" si="29"/>
        <v>1</v>
      </c>
      <c r="Z170" s="241" t="str">
        <f t="shared" si="30"/>
        <v/>
      </c>
      <c r="AB170" s="241" t="s">
        <v>897</v>
      </c>
    </row>
    <row r="171" spans="1:28" ht="26.25" x14ac:dyDescent="0.25">
      <c r="A171" s="241">
        <f t="shared" si="26"/>
        <v>2</v>
      </c>
      <c r="B171" s="241" t="s">
        <v>738</v>
      </c>
      <c r="C171" s="339"/>
      <c r="D171" s="337">
        <v>0.14499999999999999</v>
      </c>
      <c r="E171" s="241">
        <f t="shared" si="27"/>
        <v>0.14499999999999999</v>
      </c>
      <c r="F171" s="339"/>
      <c r="G171" s="339">
        <v>82.5</v>
      </c>
      <c r="H171" s="241">
        <f t="shared" si="23"/>
        <v>82.5</v>
      </c>
      <c r="I171" s="339"/>
      <c r="J171" s="339">
        <v>32.14</v>
      </c>
      <c r="K171" s="241">
        <f t="shared" si="24"/>
        <v>32.14</v>
      </c>
      <c r="L171" s="339">
        <v>0.5</v>
      </c>
      <c r="M171" s="241">
        <f>(3-27)/27*100</f>
        <v>-88.888888888888886</v>
      </c>
      <c r="N171" s="130" t="s">
        <v>732</v>
      </c>
      <c r="Q171" s="241">
        <f>IF(H171&lt;60,'Berechnung-WÜ-Material'!$AL$110,IF(AND(H171&gt;=60,H171&lt;80),'Berechnung-WÜ-Material'!$AM$110,IF(AND('Daten-Materialien'!H171&gt;=80,'Daten-Materialien'!H171&lt;100),'Berechnung-WÜ-Material'!$AN$110,IF(AND(H171&gt;=100,H171&lt;120),'Berechnung-WÜ-Material'!$AO$110,IF(AND('Daten-Materialien'!H171&gt;=120,'Daten-Materialien'!H171&lt;140),'Berechnung-WÜ-Material'!$AP$110,IF('Daten-Materialien'!H171&gt;140,'Berechnung-WÜ-Material'!$AQ$110,"FEHLER"))))))</f>
        <v>2.9517194566014666</v>
      </c>
      <c r="R171" s="241">
        <f>IF(E171&lt;0.1,'Berechnung-WÜ-Material'!$AS$110,IF(AND(E171&gt;=0.1,E171&lt;0.3),'Berechnung-WÜ-Material'!$AT$110,IF(AND('Daten-Materialien'!E171&gt;=0.3,'Daten-Materialien'!E171&lt;0.6),'Berechnung-WÜ-Material'!$AU$110,IF(AND(E171&gt;=0.6,E171&lt;1),'Berechnung-WÜ-Material'!$AV$110,IF(AND('Daten-Materialien'!E171&gt;=1,'Daten-Materialien'!E171&lt;1.5),'Berechnung-WÜ-Material'!$AW$110,IF('Daten-Materialien'!E171&gt;1.5,'Berechnung-WÜ-Material'!$AX$110,"FEHLER"))))))</f>
        <v>8.1415883793382715</v>
      </c>
      <c r="S171" s="241">
        <f>IF(K171&lt;15,'Berechnung-WÜ-Material'!$AZ$110,IF(AND(K171&gt;=15,K171&lt;30),'Berechnung-WÜ-Material'!$BA$110,IF(AND('Daten-Materialien'!K171&gt;=30,'Daten-Materialien'!K171&lt;45),'Berechnung-WÜ-Material'!$BB$110,IF(AND(K171&gt;=45,K171&lt;60),'Berechnung-WÜ-Material'!$BC$110,IF(AND('Daten-Materialien'!K171&gt;=60,'Daten-Materialien'!K171&lt;75),'Berechnung-WÜ-Material'!$BD$110,IF('Daten-Materialien'!K171&gt;75,'Berechnung-WÜ-Material'!$BE$110,"FEHLER"))))))</f>
        <v>5.9436257603083487</v>
      </c>
      <c r="T171" s="241">
        <f>SUM(Q171:S171)+(L171*3*'Berechnung-WÜ-Material'!$G$22)</f>
        <v>17.865043390079936</v>
      </c>
      <c r="U171" s="241">
        <f t="shared" si="25"/>
        <v>55.055716264848783</v>
      </c>
      <c r="V171" s="241">
        <f>100/'Berechnung-WÜ-Material'!$BF$112*'Daten-Materialien'!T171</f>
        <v>87.203788786692002</v>
      </c>
      <c r="W171" s="241">
        <f t="shared" si="31"/>
        <v>2</v>
      </c>
      <c r="X171" s="241">
        <f t="shared" si="28"/>
        <v>1</v>
      </c>
      <c r="Y171" s="241">
        <f t="shared" si="29"/>
        <v>2</v>
      </c>
      <c r="Z171" s="241">
        <f t="shared" si="30"/>
        <v>2</v>
      </c>
      <c r="AB171" s="241" t="s">
        <v>737</v>
      </c>
    </row>
    <row r="172" spans="1:28" ht="26.25" x14ac:dyDescent="0.25">
      <c r="A172" s="241" t="str">
        <f t="shared" si="26"/>
        <v/>
      </c>
      <c r="B172" s="241" t="s">
        <v>739</v>
      </c>
      <c r="C172" s="339"/>
      <c r="D172" s="337">
        <v>0.14499999999999999</v>
      </c>
      <c r="E172" s="241">
        <f t="shared" si="27"/>
        <v>0.14499999999999999</v>
      </c>
      <c r="F172" s="339"/>
      <c r="G172" s="339">
        <v>90.5</v>
      </c>
      <c r="H172" s="241">
        <f t="shared" si="23"/>
        <v>90.5</v>
      </c>
      <c r="I172" s="339"/>
      <c r="J172" s="339">
        <v>27.95</v>
      </c>
      <c r="K172" s="241">
        <f t="shared" si="24"/>
        <v>27.95</v>
      </c>
      <c r="L172" s="339">
        <v>0.5</v>
      </c>
      <c r="M172" s="241">
        <f>(6-27)/27*100</f>
        <v>-77.777777777777786</v>
      </c>
      <c r="N172" s="130" t="s">
        <v>732</v>
      </c>
      <c r="Q172" s="241">
        <f>IF(H172&lt;60,'Berechnung-WÜ-Material'!$AL$110,IF(AND(H172&gt;=60,H172&lt;80),'Berechnung-WÜ-Material'!$AM$110,IF(AND('Daten-Materialien'!H172&gt;=80,'Daten-Materialien'!H172&lt;100),'Berechnung-WÜ-Material'!$AN$110,IF(AND(H172&gt;=100,H172&lt;120),'Berechnung-WÜ-Material'!$AO$110,IF(AND('Daten-Materialien'!H172&gt;=120,'Daten-Materialien'!H172&lt;140),'Berechnung-WÜ-Material'!$AP$110,IF('Daten-Materialien'!H172&gt;140,'Berechnung-WÜ-Material'!$AQ$110,"FEHLER"))))))</f>
        <v>2.9517194566014666</v>
      </c>
      <c r="R172" s="241">
        <f>IF(E172&lt;0.1,'Berechnung-WÜ-Material'!$AS$110,IF(AND(E172&gt;=0.1,E172&lt;0.3),'Berechnung-WÜ-Material'!$AT$110,IF(AND('Daten-Materialien'!E172&gt;=0.3,'Daten-Materialien'!E172&lt;0.6),'Berechnung-WÜ-Material'!$AU$110,IF(AND(E172&gt;=0.6,E172&lt;1),'Berechnung-WÜ-Material'!$AV$110,IF(AND('Daten-Materialien'!E172&gt;=1,'Daten-Materialien'!E172&lt;1.5),'Berechnung-WÜ-Material'!$AW$110,IF('Daten-Materialien'!E172&gt;1.5,'Berechnung-WÜ-Material'!$AX$110,"FEHLER"))))))</f>
        <v>8.1415883793382715</v>
      </c>
      <c r="S172" s="241">
        <f>IF(K172&lt;15,'Berechnung-WÜ-Material'!$AZ$110,IF(AND(K172&gt;=15,K172&lt;30),'Berechnung-WÜ-Material'!$BA$110,IF(AND('Daten-Materialien'!K172&gt;=30,'Daten-Materialien'!K172&lt;45),'Berechnung-WÜ-Material'!$BB$110,IF(AND(K172&gt;=45,K172&lt;60),'Berechnung-WÜ-Material'!$BC$110,IF(AND('Daten-Materialien'!K172&gt;=60,'Daten-Materialien'!K172&lt;75),'Berechnung-WÜ-Material'!$BD$110,IF('Daten-Materialien'!K172&gt;75,'Berechnung-WÜ-Material'!$BE$110,"FEHLER"))))))</f>
        <v>5.3164008462907759</v>
      </c>
      <c r="T172" s="241">
        <f>SUM(Q172:S172)+(L172*3*'Berechnung-WÜ-Material'!$G$22)</f>
        <v>17.237818476062365</v>
      </c>
      <c r="U172" s="241">
        <f t="shared" si="25"/>
        <v>52.732661027560816</v>
      </c>
      <c r="V172" s="241">
        <f>100/'Berechnung-WÜ-Material'!$BF$112*'Daten-Materialien'!T172</f>
        <v>84.142145569295124</v>
      </c>
      <c r="W172" s="241">
        <f t="shared" si="31"/>
        <v>9</v>
      </c>
      <c r="X172" s="241" t="str">
        <f t="shared" si="28"/>
        <v/>
      </c>
      <c r="Y172" s="241">
        <f t="shared" si="29"/>
        <v>2</v>
      </c>
      <c r="Z172" s="241" t="str">
        <f t="shared" si="30"/>
        <v/>
      </c>
      <c r="AB172" s="241" t="s">
        <v>841</v>
      </c>
    </row>
    <row r="173" spans="1:28" ht="39" x14ac:dyDescent="0.25">
      <c r="A173" s="241" t="str">
        <f t="shared" si="26"/>
        <v/>
      </c>
      <c r="B173" s="241" t="s">
        <v>740</v>
      </c>
      <c r="C173" s="339"/>
      <c r="D173" s="339">
        <v>8.7999999999999995E-2</v>
      </c>
      <c r="E173" s="241">
        <f t="shared" si="27"/>
        <v>8.7999999999999995E-2</v>
      </c>
      <c r="F173" s="339"/>
      <c r="G173" s="339">
        <v>73.5</v>
      </c>
      <c r="H173" s="241">
        <f t="shared" si="23"/>
        <v>73.5</v>
      </c>
      <c r="I173" s="339"/>
      <c r="J173" s="339">
        <v>43.42</v>
      </c>
      <c r="K173" s="241">
        <f t="shared" si="24"/>
        <v>43.42</v>
      </c>
      <c r="L173" s="339">
        <v>0.5</v>
      </c>
      <c r="M173" s="241">
        <f>(6.2-7.5)/7.5*100</f>
        <v>-17.333333333333332</v>
      </c>
      <c r="N173" s="130" t="s">
        <v>741</v>
      </c>
      <c r="Q173" s="241">
        <f>IF(H173&lt;60,'Berechnung-WÜ-Material'!$AL$110,IF(AND(H173&gt;=60,H173&lt;80),'Berechnung-WÜ-Material'!$AM$110,IF(AND('Daten-Materialien'!H173&gt;=80,'Daten-Materialien'!H173&lt;100),'Berechnung-WÜ-Material'!$AN$110,IF(AND(H173&gt;=100,H173&lt;120),'Berechnung-WÜ-Material'!$AO$110,IF(AND('Daten-Materialien'!H173&gt;=120,'Daten-Materialien'!H173&lt;140),'Berechnung-WÜ-Material'!$AP$110,IF('Daten-Materialien'!H173&gt;140,'Berechnung-WÜ-Material'!$AQ$110,"FEHLER"))))))</f>
        <v>1.4830749679207913</v>
      </c>
      <c r="R173" s="241">
        <f>IF(E173&lt;0.1,'Berechnung-WÜ-Material'!$AS$110,IF(AND(E173&gt;=0.1,E173&lt;0.3),'Berechnung-WÜ-Material'!$AT$110,IF(AND('Daten-Materialien'!E173&gt;=0.3,'Daten-Materialien'!E173&lt;0.6),'Berechnung-WÜ-Material'!$AU$110,IF(AND(E173&gt;=0.6,E173&lt;1),'Berechnung-WÜ-Material'!$AV$110,IF(AND('Daten-Materialien'!E173&gt;=1,'Daten-Materialien'!E173&lt;1.5),'Berechnung-WÜ-Material'!$AW$110,IF('Daten-Materialien'!E173&gt;1.5,'Berechnung-WÜ-Material'!$AX$110,"FEHLER"))))))</f>
        <v>5.4090960472347849</v>
      </c>
      <c r="S173" s="241">
        <f>IF(K173&lt;15,'Berechnung-WÜ-Material'!$AZ$110,IF(AND(K173&gt;=15,K173&lt;30),'Berechnung-WÜ-Material'!$BA$110,IF(AND('Daten-Materialien'!K173&gt;=30,'Daten-Materialien'!K173&lt;45),'Berechnung-WÜ-Material'!$BB$110,IF(AND(K173&gt;=45,K173&lt;60),'Berechnung-WÜ-Material'!$BC$110,IF(AND('Daten-Materialien'!K173&gt;=60,'Daten-Materialien'!K173&lt;75),'Berechnung-WÜ-Material'!$BD$110,IF('Daten-Materialien'!K173&gt;75,'Berechnung-WÜ-Material'!$BE$110,"FEHLER"))))))</f>
        <v>5.9436257603083487</v>
      </c>
      <c r="T173" s="241">
        <f>SUM(Q173:S173)+(L173*3*'Berechnung-WÜ-Material'!$G$22)</f>
        <v>13.663906569295772</v>
      </c>
      <c r="U173" s="241">
        <f t="shared" si="25"/>
        <v>39.495950260699686</v>
      </c>
      <c r="V173" s="241">
        <f>100/'Berechnung-WÜ-Material'!$BF$112*'Daten-Materialien'!T173</f>
        <v>66.696978924305341</v>
      </c>
      <c r="W173" s="241">
        <f t="shared" si="31"/>
        <v>149</v>
      </c>
      <c r="X173" s="241" t="str">
        <f t="shared" si="28"/>
        <v/>
      </c>
      <c r="Y173" s="241">
        <f t="shared" si="29"/>
        <v>2</v>
      </c>
      <c r="Z173" s="241" t="str">
        <f t="shared" si="30"/>
        <v/>
      </c>
      <c r="AB173" s="241" t="s">
        <v>836</v>
      </c>
    </row>
    <row r="174" spans="1:28" ht="39" x14ac:dyDescent="0.25">
      <c r="A174" s="241" t="str">
        <f t="shared" si="26"/>
        <v/>
      </c>
      <c r="B174" s="241" t="s">
        <v>742</v>
      </c>
      <c r="D174" s="339">
        <v>6.5000000000000002E-2</v>
      </c>
      <c r="E174" s="241">
        <f t="shared" si="27"/>
        <v>6.5000000000000002E-2</v>
      </c>
      <c r="G174" s="339">
        <v>75.39</v>
      </c>
      <c r="H174" s="241">
        <f t="shared" si="23"/>
        <v>75.39</v>
      </c>
      <c r="J174" s="339">
        <v>42.99</v>
      </c>
      <c r="K174" s="241">
        <f t="shared" si="24"/>
        <v>42.99</v>
      </c>
      <c r="L174" s="339">
        <v>0.5</v>
      </c>
      <c r="M174" s="241">
        <f>(5.4-7.5)/7.5*100</f>
        <v>-27.999999999999996</v>
      </c>
      <c r="N174" s="130" t="s">
        <v>741</v>
      </c>
      <c r="Q174" s="241">
        <f>IF(H174&lt;60,'Berechnung-WÜ-Material'!$AL$110,IF(AND(H174&gt;=60,H174&lt;80),'Berechnung-WÜ-Material'!$AM$110,IF(AND('Daten-Materialien'!H174&gt;=80,'Daten-Materialien'!H174&lt;100),'Berechnung-WÜ-Material'!$AN$110,IF(AND(H174&gt;=100,H174&lt;120),'Berechnung-WÜ-Material'!$AO$110,IF(AND('Daten-Materialien'!H174&gt;=120,'Daten-Materialien'!H174&lt;140),'Berechnung-WÜ-Material'!$AP$110,IF('Daten-Materialien'!H174&gt;140,'Berechnung-WÜ-Material'!$AQ$110,"FEHLER"))))))</f>
        <v>1.4830749679207913</v>
      </c>
      <c r="R174" s="241">
        <f>IF(E174&lt;0.1,'Berechnung-WÜ-Material'!$AS$110,IF(AND(E174&gt;=0.1,E174&lt;0.3),'Berechnung-WÜ-Material'!$AT$110,IF(AND('Daten-Materialien'!E174&gt;=0.3,'Daten-Materialien'!E174&lt;0.6),'Berechnung-WÜ-Material'!$AU$110,IF(AND(E174&gt;=0.6,E174&lt;1),'Berechnung-WÜ-Material'!$AV$110,IF(AND('Daten-Materialien'!E174&gt;=1,'Daten-Materialien'!E174&lt;1.5),'Berechnung-WÜ-Material'!$AW$110,IF('Daten-Materialien'!E174&gt;1.5,'Berechnung-WÜ-Material'!$AX$110,"FEHLER"))))))</f>
        <v>5.4090960472347849</v>
      </c>
      <c r="S174" s="241">
        <f>IF(K174&lt;15,'Berechnung-WÜ-Material'!$AZ$110,IF(AND(K174&gt;=15,K174&lt;30),'Berechnung-WÜ-Material'!$BA$110,IF(AND('Daten-Materialien'!K174&gt;=30,'Daten-Materialien'!K174&lt;45),'Berechnung-WÜ-Material'!$BB$110,IF(AND(K174&gt;=45,K174&lt;60),'Berechnung-WÜ-Material'!$BC$110,IF(AND('Daten-Materialien'!K174&gt;=60,'Daten-Materialien'!K174&lt;75),'Berechnung-WÜ-Material'!$BD$110,IF('Daten-Materialien'!K174&gt;75,'Berechnung-WÜ-Material'!$BE$110,"FEHLER"))))))</f>
        <v>5.9436257603083487</v>
      </c>
      <c r="T174" s="241">
        <f>SUM(Q174:S174)+(L174*3*'Berechnung-WÜ-Material'!$G$22)</f>
        <v>13.663906569295772</v>
      </c>
      <c r="U174" s="241">
        <f t="shared" si="25"/>
        <v>39.495950260699686</v>
      </c>
      <c r="V174" s="241">
        <f>100/'Berechnung-WÜ-Material'!$BF$112*'Daten-Materialien'!T174</f>
        <v>66.696978924305341</v>
      </c>
      <c r="W174" s="241">
        <f t="shared" si="31"/>
        <v>149</v>
      </c>
      <c r="X174" s="241" t="str">
        <f t="shared" si="28"/>
        <v/>
      </c>
      <c r="Y174" s="241">
        <f t="shared" si="29"/>
        <v>2</v>
      </c>
      <c r="Z174" s="241" t="str">
        <f t="shared" si="30"/>
        <v/>
      </c>
      <c r="AB174" s="241" t="s">
        <v>838</v>
      </c>
    </row>
    <row r="175" spans="1:28" ht="39" x14ac:dyDescent="0.25">
      <c r="A175" s="241" t="str">
        <f t="shared" si="26"/>
        <v/>
      </c>
      <c r="B175" s="241" t="s">
        <v>743</v>
      </c>
      <c r="D175" s="339">
        <v>7.0999999999999994E-2</v>
      </c>
      <c r="E175" s="241">
        <f t="shared" si="27"/>
        <v>7.0999999999999994E-2</v>
      </c>
      <c r="G175" s="339">
        <v>79.2</v>
      </c>
      <c r="H175" s="241">
        <f t="shared" si="23"/>
        <v>79.2</v>
      </c>
      <c r="J175" s="339">
        <v>40.53</v>
      </c>
      <c r="K175" s="241">
        <f t="shared" si="24"/>
        <v>40.53</v>
      </c>
      <c r="L175" s="339">
        <v>0.5</v>
      </c>
      <c r="M175" s="241">
        <f>(3.5-7.5)/7.5*100</f>
        <v>-53.333333333333336</v>
      </c>
      <c r="N175" s="130" t="s">
        <v>741</v>
      </c>
      <c r="Q175" s="241">
        <f>IF(H175&lt;60,'Berechnung-WÜ-Material'!$AL$110,IF(AND(H175&gt;=60,H175&lt;80),'Berechnung-WÜ-Material'!$AM$110,IF(AND('Daten-Materialien'!H175&gt;=80,'Daten-Materialien'!H175&lt;100),'Berechnung-WÜ-Material'!$AN$110,IF(AND(H175&gt;=100,H175&lt;120),'Berechnung-WÜ-Material'!$AO$110,IF(AND('Daten-Materialien'!H175&gt;=120,'Daten-Materialien'!H175&lt;140),'Berechnung-WÜ-Material'!$AP$110,IF('Daten-Materialien'!H175&gt;140,'Berechnung-WÜ-Material'!$AQ$110,"FEHLER"))))))</f>
        <v>1.4830749679207913</v>
      </c>
      <c r="R175" s="241">
        <f>IF(E175&lt;0.1,'Berechnung-WÜ-Material'!$AS$110,IF(AND(E175&gt;=0.1,E175&lt;0.3),'Berechnung-WÜ-Material'!$AT$110,IF(AND('Daten-Materialien'!E175&gt;=0.3,'Daten-Materialien'!E175&lt;0.6),'Berechnung-WÜ-Material'!$AU$110,IF(AND(E175&gt;=0.6,E175&lt;1),'Berechnung-WÜ-Material'!$AV$110,IF(AND('Daten-Materialien'!E175&gt;=1,'Daten-Materialien'!E175&lt;1.5),'Berechnung-WÜ-Material'!$AW$110,IF('Daten-Materialien'!E175&gt;1.5,'Berechnung-WÜ-Material'!$AX$110,"FEHLER"))))))</f>
        <v>5.4090960472347849</v>
      </c>
      <c r="S175" s="241">
        <f>IF(K175&lt;15,'Berechnung-WÜ-Material'!$AZ$110,IF(AND(K175&gt;=15,K175&lt;30),'Berechnung-WÜ-Material'!$BA$110,IF(AND('Daten-Materialien'!K175&gt;=30,'Daten-Materialien'!K175&lt;45),'Berechnung-WÜ-Material'!$BB$110,IF(AND(K175&gt;=45,K175&lt;60),'Berechnung-WÜ-Material'!$BC$110,IF(AND('Daten-Materialien'!K175&gt;=60,'Daten-Materialien'!K175&lt;75),'Berechnung-WÜ-Material'!$BD$110,IF('Daten-Materialien'!K175&gt;75,'Berechnung-WÜ-Material'!$BE$110,"FEHLER"))))))</f>
        <v>5.9436257603083487</v>
      </c>
      <c r="T175" s="241">
        <f>SUM(Q175:S175)+(L175*3*'Berechnung-WÜ-Material'!$G$22)</f>
        <v>13.663906569295772</v>
      </c>
      <c r="U175" s="241">
        <f t="shared" si="25"/>
        <v>39.495950260699686</v>
      </c>
      <c r="V175" s="241">
        <f>100/'Berechnung-WÜ-Material'!$BF$112*'Daten-Materialien'!T175</f>
        <v>66.696978924305341</v>
      </c>
      <c r="W175" s="241">
        <f t="shared" si="31"/>
        <v>149</v>
      </c>
      <c r="X175" s="241" t="str">
        <f t="shared" si="28"/>
        <v/>
      </c>
      <c r="Y175" s="241">
        <f t="shared" si="29"/>
        <v>2</v>
      </c>
      <c r="Z175" s="241" t="str">
        <f t="shared" si="30"/>
        <v/>
      </c>
      <c r="AB175" s="241" t="s">
        <v>837</v>
      </c>
    </row>
    <row r="176" spans="1:28" ht="64.5" x14ac:dyDescent="0.25">
      <c r="A176" s="241" t="str">
        <f t="shared" si="26"/>
        <v/>
      </c>
      <c r="B176" s="241" t="s">
        <v>744</v>
      </c>
      <c r="D176" s="337">
        <v>0.2</v>
      </c>
      <c r="E176" s="241">
        <f t="shared" si="27"/>
        <v>0.2</v>
      </c>
      <c r="G176" s="339">
        <v>79.900000000000006</v>
      </c>
      <c r="H176" s="241">
        <f t="shared" si="23"/>
        <v>79.900000000000006</v>
      </c>
      <c r="J176" s="339">
        <v>33.340000000000003</v>
      </c>
      <c r="K176" s="241">
        <f t="shared" si="24"/>
        <v>33.340000000000003</v>
      </c>
      <c r="L176" s="339">
        <v>0</v>
      </c>
      <c r="M176" s="241">
        <f>(0.6-2.7)/2.7*100</f>
        <v>-77.777777777777786</v>
      </c>
      <c r="N176" s="130" t="s">
        <v>745</v>
      </c>
      <c r="Q176" s="241">
        <f>IF(H176&lt;60,'Berechnung-WÜ-Material'!$AL$110,IF(AND(H176&gt;=60,H176&lt;80),'Berechnung-WÜ-Material'!$AM$110,IF(AND('Daten-Materialien'!H176&gt;=80,'Daten-Materialien'!H176&lt;100),'Berechnung-WÜ-Material'!$AN$110,IF(AND(H176&gt;=100,H176&lt;120),'Berechnung-WÜ-Material'!$AO$110,IF(AND('Daten-Materialien'!H176&gt;=120,'Daten-Materialien'!H176&lt;140),'Berechnung-WÜ-Material'!$AP$110,IF('Daten-Materialien'!H176&gt;140,'Berechnung-WÜ-Material'!$AQ$110,"FEHLER"))))))</f>
        <v>1.4830749679207913</v>
      </c>
      <c r="R176" s="241">
        <f>IF(E176&lt;0.1,'Berechnung-WÜ-Material'!$AS$110,IF(AND(E176&gt;=0.1,E176&lt;0.3),'Berechnung-WÜ-Material'!$AT$110,IF(AND('Daten-Materialien'!E176&gt;=0.3,'Daten-Materialien'!E176&lt;0.6),'Berechnung-WÜ-Material'!$AU$110,IF(AND(E176&gt;=0.6,E176&lt;1),'Berechnung-WÜ-Material'!$AV$110,IF(AND('Daten-Materialien'!E176&gt;=1,'Daten-Materialien'!E176&lt;1.5),'Berechnung-WÜ-Material'!$AW$110,IF('Daten-Materialien'!E176&gt;1.5,'Berechnung-WÜ-Material'!$AX$110,"FEHLER"))))))</f>
        <v>8.1415883793382715</v>
      </c>
      <c r="S176" s="241">
        <f>IF(K176&lt;15,'Berechnung-WÜ-Material'!$AZ$110,IF(AND(K176&gt;=15,K176&lt;30),'Berechnung-WÜ-Material'!$BA$110,IF(AND('Daten-Materialien'!K176&gt;=30,'Daten-Materialien'!K176&lt;45),'Berechnung-WÜ-Material'!$BB$110,IF(AND(K176&gt;=45,K176&lt;60),'Berechnung-WÜ-Material'!$BC$110,IF(AND('Daten-Materialien'!K176&gt;=60,'Daten-Materialien'!K176&lt;75),'Berechnung-WÜ-Material'!$BD$110,IF('Daten-Materialien'!K176&gt;75,'Berechnung-WÜ-Material'!$BE$110,"FEHLER"))))))</f>
        <v>5.9436257603083487</v>
      </c>
      <c r="T176" s="241">
        <f>SUM(Q176:S176)+(L176*3*'Berechnung-WÜ-Material'!$G$22)</f>
        <v>15.568289107567411</v>
      </c>
      <c r="U176" s="241">
        <f t="shared" si="25"/>
        <v>46.549218921529274</v>
      </c>
      <c r="V176" s="241">
        <f>100/'Berechnung-WÜ-Material'!$BF$112*'Daten-Materialien'!T176</f>
        <v>75.99275106492712</v>
      </c>
      <c r="W176" s="241">
        <f t="shared" si="31"/>
        <v>80</v>
      </c>
      <c r="X176" s="241" t="str">
        <f t="shared" si="28"/>
        <v/>
      </c>
      <c r="Y176" s="241">
        <f t="shared" si="29"/>
        <v>2</v>
      </c>
      <c r="Z176" s="241" t="str">
        <f t="shared" si="30"/>
        <v/>
      </c>
      <c r="AB176" s="241" t="s">
        <v>839</v>
      </c>
    </row>
    <row r="177" spans="1:28" ht="64.5" x14ac:dyDescent="0.25">
      <c r="A177" s="241" t="str">
        <f t="shared" si="26"/>
        <v/>
      </c>
      <c r="B177" s="241" t="s">
        <v>893</v>
      </c>
      <c r="D177" s="337">
        <v>0.2</v>
      </c>
      <c r="E177" s="241">
        <f t="shared" si="27"/>
        <v>0.2</v>
      </c>
      <c r="G177" s="339">
        <v>91</v>
      </c>
      <c r="H177" s="241">
        <f t="shared" si="23"/>
        <v>91</v>
      </c>
      <c r="J177" s="339">
        <v>20.91</v>
      </c>
      <c r="K177" s="241">
        <f t="shared" si="24"/>
        <v>20.91</v>
      </c>
      <c r="L177" s="339">
        <v>0</v>
      </c>
      <c r="M177" s="241">
        <f>(1.25-2.7)/2.7*100</f>
        <v>-53.703703703703709</v>
      </c>
      <c r="N177" s="130" t="s">
        <v>745</v>
      </c>
      <c r="Q177" s="241">
        <f>IF(H177&lt;60,'Berechnung-WÜ-Material'!$AL$110,IF(AND(H177&gt;=60,H177&lt;80),'Berechnung-WÜ-Material'!$AM$110,IF(AND('Daten-Materialien'!H177&gt;=80,'Daten-Materialien'!H177&lt;100),'Berechnung-WÜ-Material'!$AN$110,IF(AND(H177&gt;=100,H177&lt;120),'Berechnung-WÜ-Material'!$AO$110,IF(AND('Daten-Materialien'!H177&gt;=120,'Daten-Materialien'!H177&lt;140),'Berechnung-WÜ-Material'!$AP$110,IF('Daten-Materialien'!H177&gt;140,'Berechnung-WÜ-Material'!$AQ$110,"FEHLER"))))))</f>
        <v>2.9517194566014666</v>
      </c>
      <c r="R177" s="241">
        <f>IF(E177&lt;0.1,'Berechnung-WÜ-Material'!$AS$110,IF(AND(E177&gt;=0.1,E177&lt;0.3),'Berechnung-WÜ-Material'!$AT$110,IF(AND('Daten-Materialien'!E177&gt;=0.3,'Daten-Materialien'!E177&lt;0.6),'Berechnung-WÜ-Material'!$AU$110,IF(AND(E177&gt;=0.6,E177&lt;1),'Berechnung-WÜ-Material'!$AV$110,IF(AND('Daten-Materialien'!E177&gt;=1,'Daten-Materialien'!E177&lt;1.5),'Berechnung-WÜ-Material'!$AW$110,IF('Daten-Materialien'!E177&gt;1.5,'Berechnung-WÜ-Material'!$AX$110,"FEHLER"))))))</f>
        <v>8.1415883793382715</v>
      </c>
      <c r="S177" s="241">
        <f>IF(K177&lt;15,'Berechnung-WÜ-Material'!$AZ$110,IF(AND(K177&gt;=15,K177&lt;30),'Berechnung-WÜ-Material'!$BA$110,IF(AND('Daten-Materialien'!K177&gt;=30,'Daten-Materialien'!K177&lt;45),'Berechnung-WÜ-Material'!$BB$110,IF(AND(K177&gt;=45,K177&lt;60),'Berechnung-WÜ-Material'!$BC$110,IF(AND('Daten-Materialien'!K177&gt;=60,'Daten-Materialien'!K177&lt;75),'Berechnung-WÜ-Material'!$BD$110,IF('Daten-Materialien'!K177&gt;75,'Berechnung-WÜ-Material'!$BE$110,"FEHLER"))))))</f>
        <v>5.3164008462907759</v>
      </c>
      <c r="T177" s="241">
        <f>SUM(Q177:S177)+(L177*3*'Berechnung-WÜ-Material'!$G$22)</f>
        <v>16.409708682230516</v>
      </c>
      <c r="U177" s="241">
        <f t="shared" si="25"/>
        <v>49.665587716827119</v>
      </c>
      <c r="V177" s="241">
        <f>100/'Berechnung-WÜ-Material'!$BF$112*'Daten-Materialien'!T177</f>
        <v>80.099932517990538</v>
      </c>
      <c r="W177" s="241">
        <f t="shared" si="31"/>
        <v>27</v>
      </c>
      <c r="X177" s="241" t="str">
        <f t="shared" si="28"/>
        <v/>
      </c>
      <c r="Y177" s="241">
        <f t="shared" si="29"/>
        <v>2</v>
      </c>
      <c r="Z177" s="241" t="str">
        <f t="shared" si="30"/>
        <v/>
      </c>
      <c r="AB177" s="241" t="s">
        <v>840</v>
      </c>
    </row>
    <row r="178" spans="1:28" ht="64.5" x14ac:dyDescent="0.25">
      <c r="A178" s="241" t="str">
        <f t="shared" si="26"/>
        <v/>
      </c>
      <c r="B178" s="241" t="s">
        <v>746</v>
      </c>
      <c r="D178" s="337">
        <v>0.2</v>
      </c>
      <c r="E178" s="241">
        <f t="shared" si="27"/>
        <v>0.2</v>
      </c>
      <c r="G178" s="339">
        <v>76.8</v>
      </c>
      <c r="H178" s="241">
        <f t="shared" si="23"/>
        <v>76.8</v>
      </c>
      <c r="J178" s="339">
        <v>26.74</v>
      </c>
      <c r="K178" s="241">
        <f t="shared" si="24"/>
        <v>26.74</v>
      </c>
      <c r="L178" s="339">
        <v>0</v>
      </c>
      <c r="M178" s="241">
        <f>(0.8-2.7)/2.7*100</f>
        <v>-70.370370370370367</v>
      </c>
      <c r="N178" s="130" t="s">
        <v>745</v>
      </c>
      <c r="Q178" s="241">
        <f>IF(H178&lt;60,'Berechnung-WÜ-Material'!$AL$110,IF(AND(H178&gt;=60,H178&lt;80),'Berechnung-WÜ-Material'!$AM$110,IF(AND('Daten-Materialien'!H178&gt;=80,'Daten-Materialien'!H178&lt;100),'Berechnung-WÜ-Material'!$AN$110,IF(AND(H178&gt;=100,H178&lt;120),'Berechnung-WÜ-Material'!$AO$110,IF(AND('Daten-Materialien'!H178&gt;=120,'Daten-Materialien'!H178&lt;140),'Berechnung-WÜ-Material'!$AP$110,IF('Daten-Materialien'!H178&gt;140,'Berechnung-WÜ-Material'!$AQ$110,"FEHLER"))))))</f>
        <v>1.4830749679207913</v>
      </c>
      <c r="R178" s="241">
        <f>IF(E178&lt;0.1,'Berechnung-WÜ-Material'!$AS$110,IF(AND(E178&gt;=0.1,E178&lt;0.3),'Berechnung-WÜ-Material'!$AT$110,IF(AND('Daten-Materialien'!E178&gt;=0.3,'Daten-Materialien'!E178&lt;0.6),'Berechnung-WÜ-Material'!$AU$110,IF(AND(E178&gt;=0.6,E178&lt;1),'Berechnung-WÜ-Material'!$AV$110,IF(AND('Daten-Materialien'!E178&gt;=1,'Daten-Materialien'!E178&lt;1.5),'Berechnung-WÜ-Material'!$AW$110,IF('Daten-Materialien'!E178&gt;1.5,'Berechnung-WÜ-Material'!$AX$110,"FEHLER"))))))</f>
        <v>8.1415883793382715</v>
      </c>
      <c r="S178" s="241">
        <f>IF(K178&lt;15,'Berechnung-WÜ-Material'!$AZ$110,IF(AND(K178&gt;=15,K178&lt;30),'Berechnung-WÜ-Material'!$BA$110,IF(AND('Daten-Materialien'!K178&gt;=30,'Daten-Materialien'!K178&lt;45),'Berechnung-WÜ-Material'!$BB$110,IF(AND(K178&gt;=45,K178&lt;60),'Berechnung-WÜ-Material'!$BC$110,IF(AND('Daten-Materialien'!K178&gt;=60,'Daten-Materialien'!K178&lt;75),'Berechnung-WÜ-Material'!$BD$110,IF('Daten-Materialien'!K178&gt;75,'Berechnung-WÜ-Material'!$BE$110,"FEHLER"))))))</f>
        <v>5.3164008462907759</v>
      </c>
      <c r="T178" s="241">
        <f>SUM(Q178:S178)+(L178*3*'Berechnung-WÜ-Material'!$G$22)</f>
        <v>14.941064193549838</v>
      </c>
      <c r="U178" s="241">
        <f t="shared" si="25"/>
        <v>44.226163684241307</v>
      </c>
      <c r="V178" s="241">
        <f>100/'Berechnung-WÜ-Material'!$BF$112*'Daten-Materialien'!T178</f>
        <v>72.931107847530228</v>
      </c>
      <c r="W178" s="241">
        <f t="shared" si="31"/>
        <v>104</v>
      </c>
      <c r="X178" s="241" t="str">
        <f t="shared" si="28"/>
        <v/>
      </c>
      <c r="Y178" s="241">
        <f t="shared" si="29"/>
        <v>2</v>
      </c>
      <c r="Z178" s="241" t="str">
        <f t="shared" si="30"/>
        <v/>
      </c>
      <c r="AB178" s="241" t="s">
        <v>898</v>
      </c>
    </row>
    <row r="179" spans="1:28" ht="64.5" x14ac:dyDescent="0.25">
      <c r="A179" s="241" t="str">
        <f t="shared" si="26"/>
        <v/>
      </c>
      <c r="B179" s="241" t="s">
        <v>747</v>
      </c>
      <c r="D179" s="337">
        <v>0.2</v>
      </c>
      <c r="E179" s="241">
        <f t="shared" si="27"/>
        <v>0.2</v>
      </c>
      <c r="G179" s="339">
        <v>85.6</v>
      </c>
      <c r="H179" s="241">
        <f t="shared" si="23"/>
        <v>85.6</v>
      </c>
      <c r="J179" s="339">
        <v>22.31</v>
      </c>
      <c r="K179" s="241">
        <f t="shared" si="24"/>
        <v>22.31</v>
      </c>
      <c r="L179" s="339">
        <v>0</v>
      </c>
      <c r="M179" s="241">
        <f>(1-2.7)/2.7*100</f>
        <v>-62.962962962962962</v>
      </c>
      <c r="N179" s="130" t="s">
        <v>745</v>
      </c>
      <c r="Q179" s="241">
        <f>IF(H179&lt;60,'Berechnung-WÜ-Material'!$AL$110,IF(AND(H179&gt;=60,H179&lt;80),'Berechnung-WÜ-Material'!$AM$110,IF(AND('Daten-Materialien'!H179&gt;=80,'Daten-Materialien'!H179&lt;100),'Berechnung-WÜ-Material'!$AN$110,IF(AND(H179&gt;=100,H179&lt;120),'Berechnung-WÜ-Material'!$AO$110,IF(AND('Daten-Materialien'!H179&gt;=120,'Daten-Materialien'!H179&lt;140),'Berechnung-WÜ-Material'!$AP$110,IF('Daten-Materialien'!H179&gt;140,'Berechnung-WÜ-Material'!$AQ$110,"FEHLER"))))))</f>
        <v>2.9517194566014666</v>
      </c>
      <c r="R179" s="241">
        <f>IF(E179&lt;0.1,'Berechnung-WÜ-Material'!$AS$110,IF(AND(E179&gt;=0.1,E179&lt;0.3),'Berechnung-WÜ-Material'!$AT$110,IF(AND('Daten-Materialien'!E179&gt;=0.3,'Daten-Materialien'!E179&lt;0.6),'Berechnung-WÜ-Material'!$AU$110,IF(AND(E179&gt;=0.6,E179&lt;1),'Berechnung-WÜ-Material'!$AV$110,IF(AND('Daten-Materialien'!E179&gt;=1,'Daten-Materialien'!E179&lt;1.5),'Berechnung-WÜ-Material'!$AW$110,IF('Daten-Materialien'!E179&gt;1.5,'Berechnung-WÜ-Material'!$AX$110,"FEHLER"))))))</f>
        <v>8.1415883793382715</v>
      </c>
      <c r="S179" s="241">
        <f>IF(K179&lt;15,'Berechnung-WÜ-Material'!$AZ$110,IF(AND(K179&gt;=15,K179&lt;30),'Berechnung-WÜ-Material'!$BA$110,IF(AND('Daten-Materialien'!K179&gt;=30,'Daten-Materialien'!K179&lt;45),'Berechnung-WÜ-Material'!$BB$110,IF(AND(K179&gt;=45,K179&lt;60),'Berechnung-WÜ-Material'!$BC$110,IF(AND('Daten-Materialien'!K179&gt;=60,'Daten-Materialien'!K179&lt;75),'Berechnung-WÜ-Material'!$BD$110,IF('Daten-Materialien'!K179&gt;75,'Berechnung-WÜ-Material'!$BE$110,"FEHLER"))))))</f>
        <v>5.3164008462907759</v>
      </c>
      <c r="T179" s="241">
        <f>SUM(Q179:S179)+(L179*3*'Berechnung-WÜ-Material'!$G$22)</f>
        <v>16.409708682230516</v>
      </c>
      <c r="U179" s="241">
        <f t="shared" si="25"/>
        <v>49.665587716827119</v>
      </c>
      <c r="V179" s="241">
        <f>100/'Berechnung-WÜ-Material'!$BF$112*'Daten-Materialien'!T179</f>
        <v>80.099932517990538</v>
      </c>
      <c r="W179" s="241">
        <f t="shared" si="31"/>
        <v>27</v>
      </c>
      <c r="X179" s="241" t="str">
        <f t="shared" si="28"/>
        <v/>
      </c>
      <c r="Y179" s="241">
        <f t="shared" si="29"/>
        <v>2</v>
      </c>
      <c r="Z179" s="241" t="str">
        <f t="shared" si="30"/>
        <v/>
      </c>
      <c r="AB179" s="241" t="s">
        <v>899</v>
      </c>
    </row>
    <row r="180" spans="1:28" ht="64.5" x14ac:dyDescent="0.25">
      <c r="A180" s="241" t="str">
        <f t="shared" si="26"/>
        <v/>
      </c>
      <c r="B180" s="241" t="s">
        <v>748</v>
      </c>
      <c r="D180" s="337">
        <v>0.2</v>
      </c>
      <c r="E180" s="241">
        <f t="shared" si="27"/>
        <v>0.2</v>
      </c>
      <c r="G180" s="339">
        <v>63.3</v>
      </c>
      <c r="H180" s="241">
        <f t="shared" si="23"/>
        <v>63.3</v>
      </c>
      <c r="J180" s="339">
        <v>31.84</v>
      </c>
      <c r="K180" s="241">
        <f t="shared" si="24"/>
        <v>31.84</v>
      </c>
      <c r="L180" s="339">
        <v>0</v>
      </c>
      <c r="M180" s="241">
        <f>(2.5-2.7)/2.7*100</f>
        <v>-7.4074074074074137</v>
      </c>
      <c r="N180" s="130" t="s">
        <v>745</v>
      </c>
      <c r="Q180" s="241">
        <f>IF(H180&lt;60,'Berechnung-WÜ-Material'!$AL$110,IF(AND(H180&gt;=60,H180&lt;80),'Berechnung-WÜ-Material'!$AM$110,IF(AND('Daten-Materialien'!H180&gt;=80,'Daten-Materialien'!H180&lt;100),'Berechnung-WÜ-Material'!$AN$110,IF(AND(H180&gt;=100,H180&lt;120),'Berechnung-WÜ-Material'!$AO$110,IF(AND('Daten-Materialien'!H180&gt;=120,'Daten-Materialien'!H180&lt;140),'Berechnung-WÜ-Material'!$AP$110,IF('Daten-Materialien'!H180&gt;140,'Berechnung-WÜ-Material'!$AQ$110,"FEHLER"))))))</f>
        <v>1.4830749679207913</v>
      </c>
      <c r="R180" s="241">
        <f>IF(E180&lt;0.1,'Berechnung-WÜ-Material'!$AS$110,IF(AND(E180&gt;=0.1,E180&lt;0.3),'Berechnung-WÜ-Material'!$AT$110,IF(AND('Daten-Materialien'!E180&gt;=0.3,'Daten-Materialien'!E180&lt;0.6),'Berechnung-WÜ-Material'!$AU$110,IF(AND(E180&gt;=0.6,E180&lt;1),'Berechnung-WÜ-Material'!$AV$110,IF(AND('Daten-Materialien'!E180&gt;=1,'Daten-Materialien'!E180&lt;1.5),'Berechnung-WÜ-Material'!$AW$110,IF('Daten-Materialien'!E180&gt;1.5,'Berechnung-WÜ-Material'!$AX$110,"FEHLER"))))))</f>
        <v>8.1415883793382715</v>
      </c>
      <c r="S180" s="241">
        <f>IF(K180&lt;15,'Berechnung-WÜ-Material'!$AZ$110,IF(AND(K180&gt;=15,K180&lt;30),'Berechnung-WÜ-Material'!$BA$110,IF(AND('Daten-Materialien'!K180&gt;=30,'Daten-Materialien'!K180&lt;45),'Berechnung-WÜ-Material'!$BB$110,IF(AND(K180&gt;=45,K180&lt;60),'Berechnung-WÜ-Material'!$BC$110,IF(AND('Daten-Materialien'!K180&gt;=60,'Daten-Materialien'!K180&lt;75),'Berechnung-WÜ-Material'!$BD$110,IF('Daten-Materialien'!K180&gt;75,'Berechnung-WÜ-Material'!$BE$110,"FEHLER"))))))</f>
        <v>5.9436257603083487</v>
      </c>
      <c r="T180" s="241">
        <f>SUM(Q180:S180)+(L180*3*'Berechnung-WÜ-Material'!$G$22)</f>
        <v>15.568289107567411</v>
      </c>
      <c r="U180" s="241">
        <f t="shared" si="25"/>
        <v>46.549218921529274</v>
      </c>
      <c r="V180" s="241">
        <f>100/'Berechnung-WÜ-Material'!$BF$112*'Daten-Materialien'!T180</f>
        <v>75.99275106492712</v>
      </c>
      <c r="W180" s="241">
        <f t="shared" si="31"/>
        <v>80</v>
      </c>
      <c r="X180" s="241" t="str">
        <f t="shared" si="28"/>
        <v/>
      </c>
      <c r="Y180" s="241">
        <f t="shared" si="29"/>
        <v>2</v>
      </c>
      <c r="Z180" s="241" t="str">
        <f t="shared" si="30"/>
        <v/>
      </c>
      <c r="AB180" s="241" t="s">
        <v>690</v>
      </c>
    </row>
    <row r="181" spans="1:28" ht="64.5" customHeight="1" x14ac:dyDescent="0.25">
      <c r="A181" s="241" t="str">
        <f t="shared" si="26"/>
        <v/>
      </c>
      <c r="B181" s="241" t="s">
        <v>749</v>
      </c>
      <c r="D181" s="337">
        <v>0.2</v>
      </c>
      <c r="E181" s="241">
        <f t="shared" si="27"/>
        <v>0.2</v>
      </c>
      <c r="G181" s="339">
        <v>73.400000000000006</v>
      </c>
      <c r="H181" s="241">
        <f t="shared" si="23"/>
        <v>73.400000000000006</v>
      </c>
      <c r="J181" s="339">
        <v>27.83</v>
      </c>
      <c r="K181" s="241">
        <f t="shared" si="24"/>
        <v>27.83</v>
      </c>
      <c r="L181" s="339">
        <v>0</v>
      </c>
      <c r="M181" s="241">
        <f>(1.1-2.7)/2.7*100</f>
        <v>-59.259259259259252</v>
      </c>
      <c r="N181" s="130" t="s">
        <v>745</v>
      </c>
      <c r="Q181" s="241">
        <f>IF(H181&lt;60,'Berechnung-WÜ-Material'!$AL$110,IF(AND(H181&gt;=60,H181&lt;80),'Berechnung-WÜ-Material'!$AM$110,IF(AND('Daten-Materialien'!H181&gt;=80,'Daten-Materialien'!H181&lt;100),'Berechnung-WÜ-Material'!$AN$110,IF(AND(H181&gt;=100,H181&lt;120),'Berechnung-WÜ-Material'!$AO$110,IF(AND('Daten-Materialien'!H181&gt;=120,'Daten-Materialien'!H181&lt;140),'Berechnung-WÜ-Material'!$AP$110,IF('Daten-Materialien'!H181&gt;140,'Berechnung-WÜ-Material'!$AQ$110,"FEHLER"))))))</f>
        <v>1.4830749679207913</v>
      </c>
      <c r="R181" s="241">
        <f>IF(E181&lt;0.1,'Berechnung-WÜ-Material'!$AS$110,IF(AND(E181&gt;=0.1,E181&lt;0.3),'Berechnung-WÜ-Material'!$AT$110,IF(AND('Daten-Materialien'!E181&gt;=0.3,'Daten-Materialien'!E181&lt;0.6),'Berechnung-WÜ-Material'!$AU$110,IF(AND(E181&gt;=0.6,E181&lt;1),'Berechnung-WÜ-Material'!$AV$110,IF(AND('Daten-Materialien'!E181&gt;=1,'Daten-Materialien'!E181&lt;1.5),'Berechnung-WÜ-Material'!$AW$110,IF('Daten-Materialien'!E181&gt;1.5,'Berechnung-WÜ-Material'!$AX$110,"FEHLER"))))))</f>
        <v>8.1415883793382715</v>
      </c>
      <c r="S181" s="241">
        <f>IF(K181&lt;15,'Berechnung-WÜ-Material'!$AZ$110,IF(AND(K181&gt;=15,K181&lt;30),'Berechnung-WÜ-Material'!$BA$110,IF(AND('Daten-Materialien'!K181&gt;=30,'Daten-Materialien'!K181&lt;45),'Berechnung-WÜ-Material'!$BB$110,IF(AND(K181&gt;=45,K181&lt;60),'Berechnung-WÜ-Material'!$BC$110,IF(AND('Daten-Materialien'!K181&gt;=60,'Daten-Materialien'!K181&lt;75),'Berechnung-WÜ-Material'!$BD$110,IF('Daten-Materialien'!K181&gt;75,'Berechnung-WÜ-Material'!$BE$110,"FEHLER"))))))</f>
        <v>5.3164008462907759</v>
      </c>
      <c r="T181" s="241">
        <f>SUM(Q181:S181)+(L181*3*'Berechnung-WÜ-Material'!$G$22)</f>
        <v>14.941064193549838</v>
      </c>
      <c r="U181" s="241">
        <f t="shared" si="25"/>
        <v>44.226163684241307</v>
      </c>
      <c r="V181" s="241">
        <f>100/'Berechnung-WÜ-Material'!$BF$112*'Daten-Materialien'!T181</f>
        <v>72.931107847530228</v>
      </c>
      <c r="W181" s="241">
        <f t="shared" si="31"/>
        <v>104</v>
      </c>
      <c r="X181" s="241" t="str">
        <f t="shared" si="28"/>
        <v/>
      </c>
      <c r="Y181" s="241">
        <f t="shared" si="29"/>
        <v>2</v>
      </c>
      <c r="Z181" s="241" t="str">
        <f t="shared" si="30"/>
        <v/>
      </c>
      <c r="AB181" s="241" t="s">
        <v>902</v>
      </c>
    </row>
    <row r="182" spans="1:28" ht="39" customHeight="1" x14ac:dyDescent="0.25">
      <c r="A182" s="241" t="str">
        <f t="shared" si="26"/>
        <v/>
      </c>
      <c r="B182" s="241" t="s">
        <v>750</v>
      </c>
      <c r="D182" s="337">
        <v>0.14499999999999999</v>
      </c>
      <c r="E182" s="241">
        <f t="shared" si="27"/>
        <v>0.14499999999999999</v>
      </c>
      <c r="G182" s="339">
        <v>69.900000000000006</v>
      </c>
      <c r="H182" s="241">
        <f t="shared" si="23"/>
        <v>69.900000000000006</v>
      </c>
      <c r="J182" s="339">
        <v>44.48</v>
      </c>
      <c r="K182" s="241">
        <f t="shared" si="24"/>
        <v>44.48</v>
      </c>
      <c r="L182" s="339">
        <v>0</v>
      </c>
      <c r="M182" s="241">
        <f>(2000-2900)/2900*100</f>
        <v>-31.03448275862069</v>
      </c>
      <c r="N182" s="130" t="s">
        <v>751</v>
      </c>
      <c r="Q182" s="241">
        <f>IF(H182&lt;60,'Berechnung-WÜ-Material'!$AL$110,IF(AND(H182&gt;=60,H182&lt;80),'Berechnung-WÜ-Material'!$AM$110,IF(AND('Daten-Materialien'!H182&gt;=80,'Daten-Materialien'!H182&lt;100),'Berechnung-WÜ-Material'!$AN$110,IF(AND(H182&gt;=100,H182&lt;120),'Berechnung-WÜ-Material'!$AO$110,IF(AND('Daten-Materialien'!H182&gt;=120,'Daten-Materialien'!H182&lt;140),'Berechnung-WÜ-Material'!$AP$110,IF('Daten-Materialien'!H182&gt;140,'Berechnung-WÜ-Material'!$AQ$110,"FEHLER"))))))</f>
        <v>1.4830749679207913</v>
      </c>
      <c r="R182" s="241">
        <f>IF(E182&lt;0.1,'Berechnung-WÜ-Material'!$AS$110,IF(AND(E182&gt;=0.1,E182&lt;0.3),'Berechnung-WÜ-Material'!$AT$110,IF(AND('Daten-Materialien'!E182&gt;=0.3,'Daten-Materialien'!E182&lt;0.6),'Berechnung-WÜ-Material'!$AU$110,IF(AND(E182&gt;=0.6,E182&lt;1),'Berechnung-WÜ-Material'!$AV$110,IF(AND('Daten-Materialien'!E182&gt;=1,'Daten-Materialien'!E182&lt;1.5),'Berechnung-WÜ-Material'!$AW$110,IF('Daten-Materialien'!E182&gt;1.5,'Berechnung-WÜ-Material'!$AX$110,"FEHLER"))))))</f>
        <v>8.1415883793382715</v>
      </c>
      <c r="S182" s="241">
        <f>IF(K182&lt;15,'Berechnung-WÜ-Material'!$AZ$110,IF(AND(K182&gt;=15,K182&lt;30),'Berechnung-WÜ-Material'!$BA$110,IF(AND('Daten-Materialien'!K182&gt;=30,'Daten-Materialien'!K182&lt;45),'Berechnung-WÜ-Material'!$BB$110,IF(AND(K182&gt;=45,K182&lt;60),'Berechnung-WÜ-Material'!$BC$110,IF(AND('Daten-Materialien'!K182&gt;=60,'Daten-Materialien'!K182&lt;75),'Berechnung-WÜ-Material'!$BD$110,IF('Daten-Materialien'!K182&gt;75,'Berechnung-WÜ-Material'!$BE$110,"FEHLER"))))))</f>
        <v>5.9436257603083487</v>
      </c>
      <c r="T182" s="241">
        <f>SUM(Q182:S182)+(L182*3*'Berechnung-WÜ-Material'!$G$22)</f>
        <v>15.568289107567411</v>
      </c>
      <c r="U182" s="241">
        <f t="shared" si="25"/>
        <v>46.549218921529274</v>
      </c>
      <c r="V182" s="241">
        <f>100/'Berechnung-WÜ-Material'!$BF$112*'Daten-Materialien'!T182</f>
        <v>75.99275106492712</v>
      </c>
      <c r="W182" s="241">
        <f t="shared" si="31"/>
        <v>80</v>
      </c>
      <c r="X182" s="241" t="str">
        <f t="shared" si="28"/>
        <v/>
      </c>
      <c r="Y182" s="241">
        <f t="shared" si="29"/>
        <v>2</v>
      </c>
      <c r="Z182" s="241" t="str">
        <f t="shared" si="30"/>
        <v/>
      </c>
      <c r="AB182" s="241" t="s">
        <v>900</v>
      </c>
    </row>
    <row r="183" spans="1:28" ht="39" customHeight="1" x14ac:dyDescent="0.25">
      <c r="A183" s="241" t="str">
        <f t="shared" si="26"/>
        <v/>
      </c>
      <c r="B183" s="241" t="s">
        <v>752</v>
      </c>
      <c r="D183" s="337">
        <v>0.14499999999999999</v>
      </c>
      <c r="E183" s="241">
        <f t="shared" si="27"/>
        <v>0.14499999999999999</v>
      </c>
      <c r="G183" s="339">
        <v>73.599999999999994</v>
      </c>
      <c r="H183" s="241">
        <f t="shared" si="23"/>
        <v>73.599999999999994</v>
      </c>
      <c r="J183" s="339">
        <v>41.44</v>
      </c>
      <c r="K183" s="241">
        <f t="shared" si="24"/>
        <v>41.44</v>
      </c>
      <c r="L183" s="339">
        <v>0</v>
      </c>
      <c r="M183" s="241">
        <f>(1800-2900)/2900*100</f>
        <v>-37.931034482758619</v>
      </c>
      <c r="N183" s="130" t="s">
        <v>751</v>
      </c>
      <c r="Q183" s="241">
        <f>IF(H183&lt;60,'Berechnung-WÜ-Material'!$AL$110,IF(AND(H183&gt;=60,H183&lt;80),'Berechnung-WÜ-Material'!$AM$110,IF(AND('Daten-Materialien'!H183&gt;=80,'Daten-Materialien'!H183&lt;100),'Berechnung-WÜ-Material'!$AN$110,IF(AND(H183&gt;=100,H183&lt;120),'Berechnung-WÜ-Material'!$AO$110,IF(AND('Daten-Materialien'!H183&gt;=120,'Daten-Materialien'!H183&lt;140),'Berechnung-WÜ-Material'!$AP$110,IF('Daten-Materialien'!H183&gt;140,'Berechnung-WÜ-Material'!$AQ$110,"FEHLER"))))))</f>
        <v>1.4830749679207913</v>
      </c>
      <c r="R183" s="241">
        <f>IF(E183&lt;0.1,'Berechnung-WÜ-Material'!$AS$110,IF(AND(E183&gt;=0.1,E183&lt;0.3),'Berechnung-WÜ-Material'!$AT$110,IF(AND('Daten-Materialien'!E183&gt;=0.3,'Daten-Materialien'!E183&lt;0.6),'Berechnung-WÜ-Material'!$AU$110,IF(AND(E183&gt;=0.6,E183&lt;1),'Berechnung-WÜ-Material'!$AV$110,IF(AND('Daten-Materialien'!E183&gt;=1,'Daten-Materialien'!E183&lt;1.5),'Berechnung-WÜ-Material'!$AW$110,IF('Daten-Materialien'!E183&gt;1.5,'Berechnung-WÜ-Material'!$AX$110,"FEHLER"))))))</f>
        <v>8.1415883793382715</v>
      </c>
      <c r="S183" s="241">
        <f>IF(K183&lt;15,'Berechnung-WÜ-Material'!$AZ$110,IF(AND(K183&gt;=15,K183&lt;30),'Berechnung-WÜ-Material'!$BA$110,IF(AND('Daten-Materialien'!K183&gt;=30,'Daten-Materialien'!K183&lt;45),'Berechnung-WÜ-Material'!$BB$110,IF(AND(K183&gt;=45,K183&lt;60),'Berechnung-WÜ-Material'!$BC$110,IF(AND('Daten-Materialien'!K183&gt;=60,'Daten-Materialien'!K183&lt;75),'Berechnung-WÜ-Material'!$BD$110,IF('Daten-Materialien'!K183&gt;75,'Berechnung-WÜ-Material'!$BE$110,"FEHLER"))))))</f>
        <v>5.9436257603083487</v>
      </c>
      <c r="T183" s="241">
        <f>SUM(Q183:S183)+(L183*3*'Berechnung-WÜ-Material'!$G$22)</f>
        <v>15.568289107567411</v>
      </c>
      <c r="U183" s="241">
        <f t="shared" si="25"/>
        <v>46.549218921529274</v>
      </c>
      <c r="V183" s="241">
        <f>100/'Berechnung-WÜ-Material'!$BF$112*'Daten-Materialien'!T183</f>
        <v>75.99275106492712</v>
      </c>
      <c r="W183" s="241">
        <f t="shared" si="31"/>
        <v>80</v>
      </c>
      <c r="X183" s="241" t="str">
        <f t="shared" si="28"/>
        <v/>
      </c>
      <c r="Y183" s="241">
        <f t="shared" si="29"/>
        <v>2</v>
      </c>
      <c r="Z183" s="241" t="str">
        <f t="shared" si="30"/>
        <v/>
      </c>
      <c r="AB183" s="241" t="s">
        <v>901</v>
      </c>
    </row>
    <row r="184" spans="1:28" ht="39" x14ac:dyDescent="0.25">
      <c r="A184" s="241" t="str">
        <f t="shared" si="26"/>
        <v/>
      </c>
      <c r="B184" s="241" t="s">
        <v>753</v>
      </c>
      <c r="D184" s="337">
        <v>0.14499999999999999</v>
      </c>
      <c r="E184" s="241">
        <f t="shared" si="27"/>
        <v>0.14499999999999999</v>
      </c>
      <c r="G184" s="339">
        <v>81.3</v>
      </c>
      <c r="H184" s="241">
        <f t="shared" si="23"/>
        <v>81.3</v>
      </c>
      <c r="J184" s="339">
        <v>31.57</v>
      </c>
      <c r="K184" s="241">
        <f t="shared" si="24"/>
        <v>31.57</v>
      </c>
      <c r="L184" s="339">
        <v>0</v>
      </c>
      <c r="M184" s="241">
        <f>(1500-2900)/2900*100</f>
        <v>-48.275862068965516</v>
      </c>
      <c r="N184" s="130" t="s">
        <v>751</v>
      </c>
      <c r="Q184" s="241">
        <f>IF(H184&lt;60,'Berechnung-WÜ-Material'!$AL$110,IF(AND(H184&gt;=60,H184&lt;80),'Berechnung-WÜ-Material'!$AM$110,IF(AND('Daten-Materialien'!H184&gt;=80,'Daten-Materialien'!H184&lt;100),'Berechnung-WÜ-Material'!$AN$110,IF(AND(H184&gt;=100,H184&lt;120),'Berechnung-WÜ-Material'!$AO$110,IF(AND('Daten-Materialien'!H184&gt;=120,'Daten-Materialien'!H184&lt;140),'Berechnung-WÜ-Material'!$AP$110,IF('Daten-Materialien'!H184&gt;140,'Berechnung-WÜ-Material'!$AQ$110,"FEHLER"))))))</f>
        <v>2.9517194566014666</v>
      </c>
      <c r="R184" s="241">
        <f>IF(E184&lt;0.1,'Berechnung-WÜ-Material'!$AS$110,IF(AND(E184&gt;=0.1,E184&lt;0.3),'Berechnung-WÜ-Material'!$AT$110,IF(AND('Daten-Materialien'!E184&gt;=0.3,'Daten-Materialien'!E184&lt;0.6),'Berechnung-WÜ-Material'!$AU$110,IF(AND(E184&gt;=0.6,E184&lt;1),'Berechnung-WÜ-Material'!$AV$110,IF(AND('Daten-Materialien'!E184&gt;=1,'Daten-Materialien'!E184&lt;1.5),'Berechnung-WÜ-Material'!$AW$110,IF('Daten-Materialien'!E184&gt;1.5,'Berechnung-WÜ-Material'!$AX$110,"FEHLER"))))))</f>
        <v>8.1415883793382715</v>
      </c>
      <c r="S184" s="241">
        <f>IF(K184&lt;15,'Berechnung-WÜ-Material'!$AZ$110,IF(AND(K184&gt;=15,K184&lt;30),'Berechnung-WÜ-Material'!$BA$110,IF(AND('Daten-Materialien'!K184&gt;=30,'Daten-Materialien'!K184&lt;45),'Berechnung-WÜ-Material'!$BB$110,IF(AND(K184&gt;=45,K184&lt;60),'Berechnung-WÜ-Material'!$BC$110,IF(AND('Daten-Materialien'!K184&gt;=60,'Daten-Materialien'!K184&lt;75),'Berechnung-WÜ-Material'!$BD$110,IF('Daten-Materialien'!K184&gt;75,'Berechnung-WÜ-Material'!$BE$110,"FEHLER"))))))</f>
        <v>5.9436257603083487</v>
      </c>
      <c r="T184" s="241">
        <f>SUM(Q184:S184)+(L184*3*'Berechnung-WÜ-Material'!$G$22)</f>
        <v>17.036933596248087</v>
      </c>
      <c r="U184" s="241">
        <f t="shared" si="25"/>
        <v>51.988642954115079</v>
      </c>
      <c r="V184" s="241">
        <f>100/'Berechnung-WÜ-Material'!$BF$112*'Daten-Materialien'!T184</f>
        <v>83.16157573538743</v>
      </c>
      <c r="W184" s="241">
        <f t="shared" si="31"/>
        <v>13</v>
      </c>
      <c r="X184" s="241" t="str">
        <f t="shared" si="28"/>
        <v/>
      </c>
      <c r="Y184" s="241">
        <f t="shared" si="29"/>
        <v>2</v>
      </c>
      <c r="Z184" s="241" t="str">
        <f t="shared" si="30"/>
        <v/>
      </c>
      <c r="AB184" s="241" t="s">
        <v>766</v>
      </c>
    </row>
    <row r="185" spans="1:28" ht="51.75" x14ac:dyDescent="0.25">
      <c r="A185" s="241">
        <f t="shared" si="26"/>
        <v>3</v>
      </c>
      <c r="B185" s="241" t="s">
        <v>880</v>
      </c>
      <c r="D185" s="337">
        <v>0.14499999999999999</v>
      </c>
      <c r="E185" s="241">
        <f t="shared" si="27"/>
        <v>0.14499999999999999</v>
      </c>
      <c r="G185" s="339">
        <v>82</v>
      </c>
      <c r="H185" s="241">
        <f t="shared" si="23"/>
        <v>82</v>
      </c>
      <c r="J185" s="339">
        <v>40</v>
      </c>
      <c r="K185" s="241">
        <f t="shared" si="24"/>
        <v>40</v>
      </c>
      <c r="L185" s="339">
        <v>0.5</v>
      </c>
      <c r="M185" s="241">
        <v>-28</v>
      </c>
      <c r="N185" s="130" t="s">
        <v>754</v>
      </c>
      <c r="Q185" s="241">
        <f>IF(H185&lt;60,'Berechnung-WÜ-Material'!$AL$110,IF(AND(H185&gt;=60,H185&lt;80),'Berechnung-WÜ-Material'!$AM$110,IF(AND('Daten-Materialien'!H185&gt;=80,'Daten-Materialien'!H185&lt;100),'Berechnung-WÜ-Material'!$AN$110,IF(AND(H185&gt;=100,H185&lt;120),'Berechnung-WÜ-Material'!$AO$110,IF(AND('Daten-Materialien'!H185&gt;=120,'Daten-Materialien'!H185&lt;140),'Berechnung-WÜ-Material'!$AP$110,IF('Daten-Materialien'!H185&gt;140,'Berechnung-WÜ-Material'!$AQ$110,"FEHLER"))))))</f>
        <v>2.9517194566014666</v>
      </c>
      <c r="R185" s="241">
        <f>IF(E185&lt;0.1,'Berechnung-WÜ-Material'!$AS$110,IF(AND(E185&gt;=0.1,E185&lt;0.3),'Berechnung-WÜ-Material'!$AT$110,IF(AND('Daten-Materialien'!E185&gt;=0.3,'Daten-Materialien'!E185&lt;0.6),'Berechnung-WÜ-Material'!$AU$110,IF(AND(E185&gt;=0.6,E185&lt;1),'Berechnung-WÜ-Material'!$AV$110,IF(AND('Daten-Materialien'!E185&gt;=1,'Daten-Materialien'!E185&lt;1.5),'Berechnung-WÜ-Material'!$AW$110,IF('Daten-Materialien'!E185&gt;1.5,'Berechnung-WÜ-Material'!$AX$110,"FEHLER"))))))</f>
        <v>8.1415883793382715</v>
      </c>
      <c r="S185" s="241">
        <f>IF(K185&lt;15,'Berechnung-WÜ-Material'!$AZ$110,IF(AND(K185&gt;=15,K185&lt;30),'Berechnung-WÜ-Material'!$BA$110,IF(AND('Daten-Materialien'!K185&gt;=30,'Daten-Materialien'!K185&lt;45),'Berechnung-WÜ-Material'!$BB$110,IF(AND(K185&gt;=45,K185&lt;60),'Berechnung-WÜ-Material'!$BC$110,IF(AND('Daten-Materialien'!K185&gt;=60,'Daten-Materialien'!K185&lt;75),'Berechnung-WÜ-Material'!$BD$110,IF('Daten-Materialien'!K185&gt;75,'Berechnung-WÜ-Material'!$BE$110,"FEHLER"))))))</f>
        <v>5.9436257603083487</v>
      </c>
      <c r="T185" s="241">
        <f>SUM(Q185:S185)+(L185*3*'Berechnung-WÜ-Material'!$G$22)</f>
        <v>17.865043390079936</v>
      </c>
      <c r="U185" s="241">
        <f t="shared" si="25"/>
        <v>55.055716264848783</v>
      </c>
      <c r="V185" s="241">
        <f>100/'Berechnung-WÜ-Material'!$BF$112*'Daten-Materialien'!T185</f>
        <v>87.203788786692002</v>
      </c>
      <c r="W185" s="241">
        <f t="shared" si="31"/>
        <v>2</v>
      </c>
      <c r="X185" s="241">
        <f t="shared" si="28"/>
        <v>1</v>
      </c>
      <c r="Y185" s="241">
        <f t="shared" si="29"/>
        <v>3</v>
      </c>
      <c r="Z185" s="241">
        <f t="shared" si="30"/>
        <v>3</v>
      </c>
      <c r="AB185" s="241" t="s">
        <v>740</v>
      </c>
    </row>
    <row r="186" spans="1:28" ht="51.75" x14ac:dyDescent="0.25">
      <c r="A186" s="241" t="str">
        <f t="shared" si="26"/>
        <v/>
      </c>
      <c r="B186" s="241" t="s">
        <v>755</v>
      </c>
      <c r="D186" s="337">
        <v>0.14499999999999999</v>
      </c>
      <c r="E186" s="241">
        <f t="shared" si="27"/>
        <v>0.14499999999999999</v>
      </c>
      <c r="G186" s="339">
        <v>52</v>
      </c>
      <c r="H186" s="241">
        <f t="shared" si="23"/>
        <v>52</v>
      </c>
      <c r="J186" s="339">
        <v>50.7</v>
      </c>
      <c r="K186" s="241">
        <f t="shared" si="24"/>
        <v>50.7</v>
      </c>
      <c r="L186" s="339">
        <v>0.5</v>
      </c>
      <c r="M186" s="241">
        <v>-31</v>
      </c>
      <c r="N186" s="130" t="s">
        <v>754</v>
      </c>
      <c r="Q186" s="241">
        <f>IF(H186&lt;60,'Berechnung-WÜ-Material'!$AL$110,IF(AND(H186&gt;=60,H186&lt;80),'Berechnung-WÜ-Material'!$AM$110,IF(AND('Daten-Materialien'!H186&gt;=80,'Daten-Materialien'!H186&lt;100),'Berechnung-WÜ-Material'!$AN$110,IF(AND(H186&gt;=100,H186&lt;120),'Berechnung-WÜ-Material'!$AO$110,IF(AND('Daten-Materialien'!H186&gt;=120,'Daten-Materialien'!H186&lt;140),'Berechnung-WÜ-Material'!$AP$110,IF('Daten-Materialien'!H186&gt;140,'Berechnung-WÜ-Material'!$AQ$110,"FEHLER"))))))</f>
        <v>2.2063369805171464</v>
      </c>
      <c r="R186" s="241">
        <f>IF(E186&lt;0.1,'Berechnung-WÜ-Material'!$AS$110,IF(AND(E186&gt;=0.1,E186&lt;0.3),'Berechnung-WÜ-Material'!$AT$110,IF(AND('Daten-Materialien'!E186&gt;=0.3,'Daten-Materialien'!E186&lt;0.6),'Berechnung-WÜ-Material'!$AU$110,IF(AND(E186&gt;=0.6,E186&lt;1),'Berechnung-WÜ-Material'!$AV$110,IF(AND('Daten-Materialien'!E186&gt;=1,'Daten-Materialien'!E186&lt;1.5),'Berechnung-WÜ-Material'!$AW$110,IF('Daten-Materialien'!E186&gt;1.5,'Berechnung-WÜ-Material'!$AX$110,"FEHLER"))))))</f>
        <v>8.1415883793382715</v>
      </c>
      <c r="S186" s="241">
        <f>IF(K186&lt;15,'Berechnung-WÜ-Material'!$AZ$110,IF(AND(K186&gt;=15,K186&lt;30),'Berechnung-WÜ-Material'!$BA$110,IF(AND('Daten-Materialien'!K186&gt;=30,'Daten-Materialien'!K186&lt;45),'Berechnung-WÜ-Material'!$BB$110,IF(AND(K186&gt;=45,K186&lt;60),'Berechnung-WÜ-Material'!$BC$110,IF(AND('Daten-Materialien'!K186&gt;=60,'Daten-Materialien'!K186&lt;75),'Berechnung-WÜ-Material'!$BD$110,IF('Daten-Materialien'!K186&gt;75,'Berechnung-WÜ-Material'!$BE$110,"FEHLER"))))))</f>
        <v>2.6681383364247617</v>
      </c>
      <c r="T186" s="241">
        <f>SUM(Q186:S186)+(L186*3*'Berechnung-WÜ-Material'!$G$22)</f>
        <v>13.844173490112029</v>
      </c>
      <c r="U186" s="241">
        <f t="shared" si="25"/>
        <v>40.163605523035528</v>
      </c>
      <c r="V186" s="241">
        <f>100/'Berechnung-WÜ-Material'!$BF$112*'Daten-Materialien'!T186</f>
        <v>67.576907293066938</v>
      </c>
      <c r="W186" s="241">
        <f t="shared" si="31"/>
        <v>132</v>
      </c>
      <c r="X186" s="241" t="str">
        <f t="shared" si="28"/>
        <v/>
      </c>
      <c r="Y186" s="241">
        <f t="shared" si="29"/>
        <v>3</v>
      </c>
      <c r="Z186" s="241" t="str">
        <f t="shared" si="30"/>
        <v/>
      </c>
      <c r="AB186" s="241" t="s">
        <v>743</v>
      </c>
    </row>
    <row r="187" spans="1:28" ht="51.75" x14ac:dyDescent="0.25">
      <c r="A187" s="241" t="str">
        <f t="shared" si="26"/>
        <v/>
      </c>
      <c r="B187" s="241" t="s">
        <v>756</v>
      </c>
      <c r="D187" s="337">
        <v>0.14499999999999999</v>
      </c>
      <c r="E187" s="241">
        <f t="shared" si="27"/>
        <v>0.14499999999999999</v>
      </c>
      <c r="G187" s="339">
        <v>53</v>
      </c>
      <c r="H187" s="241">
        <f t="shared" si="23"/>
        <v>53</v>
      </c>
      <c r="J187" s="339">
        <v>49.9</v>
      </c>
      <c r="K187" s="241">
        <f t="shared" si="24"/>
        <v>49.9</v>
      </c>
      <c r="L187" s="339">
        <v>0.5</v>
      </c>
      <c r="M187" s="241">
        <v>-37</v>
      </c>
      <c r="N187" s="130" t="s">
        <v>754</v>
      </c>
      <c r="Q187" s="241">
        <f>IF(H187&lt;60,'Berechnung-WÜ-Material'!$AL$110,IF(AND(H187&gt;=60,H187&lt;80),'Berechnung-WÜ-Material'!$AM$110,IF(AND('Daten-Materialien'!H187&gt;=80,'Daten-Materialien'!H187&lt;100),'Berechnung-WÜ-Material'!$AN$110,IF(AND(H187&gt;=100,H187&lt;120),'Berechnung-WÜ-Material'!$AO$110,IF(AND('Daten-Materialien'!H187&gt;=120,'Daten-Materialien'!H187&lt;140),'Berechnung-WÜ-Material'!$AP$110,IF('Daten-Materialien'!H187&gt;140,'Berechnung-WÜ-Material'!$AQ$110,"FEHLER"))))))</f>
        <v>2.2063369805171464</v>
      </c>
      <c r="R187" s="241">
        <f>IF(E187&lt;0.1,'Berechnung-WÜ-Material'!$AS$110,IF(AND(E187&gt;=0.1,E187&lt;0.3),'Berechnung-WÜ-Material'!$AT$110,IF(AND('Daten-Materialien'!E187&gt;=0.3,'Daten-Materialien'!E187&lt;0.6),'Berechnung-WÜ-Material'!$AU$110,IF(AND(E187&gt;=0.6,E187&lt;1),'Berechnung-WÜ-Material'!$AV$110,IF(AND('Daten-Materialien'!E187&gt;=1,'Daten-Materialien'!E187&lt;1.5),'Berechnung-WÜ-Material'!$AW$110,IF('Daten-Materialien'!E187&gt;1.5,'Berechnung-WÜ-Material'!$AX$110,"FEHLER"))))))</f>
        <v>8.1415883793382715</v>
      </c>
      <c r="S187" s="241">
        <f>IF(K187&lt;15,'Berechnung-WÜ-Material'!$AZ$110,IF(AND(K187&gt;=15,K187&lt;30),'Berechnung-WÜ-Material'!$BA$110,IF(AND('Daten-Materialien'!K187&gt;=30,'Daten-Materialien'!K187&lt;45),'Berechnung-WÜ-Material'!$BB$110,IF(AND(K187&gt;=45,K187&lt;60),'Berechnung-WÜ-Material'!$BC$110,IF(AND('Daten-Materialien'!K187&gt;=60,'Daten-Materialien'!K187&lt;75),'Berechnung-WÜ-Material'!$BD$110,IF('Daten-Materialien'!K187&gt;75,'Berechnung-WÜ-Material'!$BE$110,"FEHLER"))))))</f>
        <v>2.6681383364247617</v>
      </c>
      <c r="T187" s="241">
        <f>SUM(Q187:S187)+(L187*3*'Berechnung-WÜ-Material'!$G$22)</f>
        <v>13.844173490112029</v>
      </c>
      <c r="U187" s="241">
        <f t="shared" si="25"/>
        <v>40.163605523035528</v>
      </c>
      <c r="V187" s="241">
        <f>100/'Berechnung-WÜ-Material'!$BF$112*'Daten-Materialien'!T187</f>
        <v>67.576907293066938</v>
      </c>
      <c r="W187" s="241">
        <f t="shared" si="31"/>
        <v>132</v>
      </c>
      <c r="X187" s="241" t="str">
        <f t="shared" si="28"/>
        <v/>
      </c>
      <c r="Y187" s="241">
        <f t="shared" si="29"/>
        <v>3</v>
      </c>
      <c r="Z187" s="241" t="str">
        <f t="shared" si="30"/>
        <v/>
      </c>
      <c r="AB187" s="241" t="s">
        <v>742</v>
      </c>
    </row>
    <row r="188" spans="1:28" ht="51.75" x14ac:dyDescent="0.25">
      <c r="A188" s="241" t="str">
        <f t="shared" si="26"/>
        <v/>
      </c>
      <c r="B188" s="241" t="s">
        <v>757</v>
      </c>
      <c r="D188" s="337">
        <v>0.14499999999999999</v>
      </c>
      <c r="E188" s="241">
        <f t="shared" si="27"/>
        <v>0.14499999999999999</v>
      </c>
      <c r="G188" s="339">
        <v>50</v>
      </c>
      <c r="H188" s="241">
        <f t="shared" si="23"/>
        <v>50</v>
      </c>
      <c r="J188" s="339">
        <v>53.7</v>
      </c>
      <c r="K188" s="241">
        <f t="shared" si="24"/>
        <v>53.7</v>
      </c>
      <c r="L188" s="339">
        <v>0.5</v>
      </c>
      <c r="M188" s="241">
        <v>-38</v>
      </c>
      <c r="N188" s="130" t="s">
        <v>754</v>
      </c>
      <c r="Q188" s="241">
        <f>IF(H188&lt;60,'Berechnung-WÜ-Material'!$AL$110,IF(AND(H188&gt;=60,H188&lt;80),'Berechnung-WÜ-Material'!$AM$110,IF(AND('Daten-Materialien'!H188&gt;=80,'Daten-Materialien'!H188&lt;100),'Berechnung-WÜ-Material'!$AN$110,IF(AND(H188&gt;=100,H188&lt;120),'Berechnung-WÜ-Material'!$AO$110,IF(AND('Daten-Materialien'!H188&gt;=120,'Daten-Materialien'!H188&lt;140),'Berechnung-WÜ-Material'!$AP$110,IF('Daten-Materialien'!H188&gt;140,'Berechnung-WÜ-Material'!$AQ$110,"FEHLER"))))))</f>
        <v>2.2063369805171464</v>
      </c>
      <c r="R188" s="241">
        <f>IF(E188&lt;0.1,'Berechnung-WÜ-Material'!$AS$110,IF(AND(E188&gt;=0.1,E188&lt;0.3),'Berechnung-WÜ-Material'!$AT$110,IF(AND('Daten-Materialien'!E188&gt;=0.3,'Daten-Materialien'!E188&lt;0.6),'Berechnung-WÜ-Material'!$AU$110,IF(AND(E188&gt;=0.6,E188&lt;1),'Berechnung-WÜ-Material'!$AV$110,IF(AND('Daten-Materialien'!E188&gt;=1,'Daten-Materialien'!E188&lt;1.5),'Berechnung-WÜ-Material'!$AW$110,IF('Daten-Materialien'!E188&gt;1.5,'Berechnung-WÜ-Material'!$AX$110,"FEHLER"))))))</f>
        <v>8.1415883793382715</v>
      </c>
      <c r="S188" s="241">
        <f>IF(K188&lt;15,'Berechnung-WÜ-Material'!$AZ$110,IF(AND(K188&gt;=15,K188&lt;30),'Berechnung-WÜ-Material'!$BA$110,IF(AND('Daten-Materialien'!K188&gt;=30,'Daten-Materialien'!K188&lt;45),'Berechnung-WÜ-Material'!$BB$110,IF(AND(K188&gt;=45,K188&lt;60),'Berechnung-WÜ-Material'!$BC$110,IF(AND('Daten-Materialien'!K188&gt;=60,'Daten-Materialien'!K188&lt;75),'Berechnung-WÜ-Material'!$BD$110,IF('Daten-Materialien'!K188&gt;75,'Berechnung-WÜ-Material'!$BE$110,"FEHLER"))))))</f>
        <v>2.6681383364247617</v>
      </c>
      <c r="T188" s="241">
        <f>SUM(Q188:S188)+(L188*3*'Berechnung-WÜ-Material'!$G$22)</f>
        <v>13.844173490112029</v>
      </c>
      <c r="U188" s="241">
        <f t="shared" si="25"/>
        <v>40.163605523035528</v>
      </c>
      <c r="V188" s="241">
        <f>100/'Berechnung-WÜ-Material'!$BF$112*'Daten-Materialien'!T188</f>
        <v>67.576907293066938</v>
      </c>
      <c r="W188" s="241">
        <f t="shared" si="31"/>
        <v>132</v>
      </c>
      <c r="X188" s="241" t="str">
        <f t="shared" si="28"/>
        <v/>
      </c>
      <c r="Y188" s="241">
        <f t="shared" si="29"/>
        <v>3</v>
      </c>
      <c r="Z188" s="241" t="str">
        <f t="shared" si="30"/>
        <v/>
      </c>
      <c r="AB188" s="241" t="s">
        <v>697</v>
      </c>
    </row>
    <row r="189" spans="1:28" ht="39" x14ac:dyDescent="0.25">
      <c r="A189" s="241" t="str">
        <f t="shared" si="26"/>
        <v/>
      </c>
      <c r="B189" s="241" t="s">
        <v>758</v>
      </c>
      <c r="D189" s="339">
        <v>9.1819999999999999E-2</v>
      </c>
      <c r="E189" s="241">
        <f t="shared" si="27"/>
        <v>9.1819999999999999E-2</v>
      </c>
      <c r="G189" s="339">
        <v>158</v>
      </c>
      <c r="H189" s="241">
        <f t="shared" si="23"/>
        <v>158</v>
      </c>
      <c r="J189" s="339">
        <v>29.7</v>
      </c>
      <c r="K189" s="241">
        <f t="shared" si="24"/>
        <v>29.7</v>
      </c>
      <c r="L189" s="339">
        <v>0</v>
      </c>
      <c r="M189" s="241">
        <f>(8-90)/90*100</f>
        <v>-91.111111111111114</v>
      </c>
      <c r="N189" s="130" t="s">
        <v>759</v>
      </c>
      <c r="O189" s="241" t="s">
        <v>760</v>
      </c>
      <c r="P189" s="241" t="s">
        <v>761</v>
      </c>
      <c r="Q189" s="241">
        <f>IF(H189&lt;60,'Berechnung-WÜ-Material'!$AL$110,IF(AND(H189&gt;=60,H189&lt;80),'Berechnung-WÜ-Material'!$AM$110,IF(AND('Daten-Materialien'!H189&gt;=80,'Daten-Materialien'!H189&lt;100),'Berechnung-WÜ-Material'!$AN$110,IF(AND(H189&gt;=100,H189&lt;120),'Berechnung-WÜ-Material'!$AO$110,IF(AND('Daten-Materialien'!H189&gt;=120,'Daten-Materialien'!H189&lt;140),'Berechnung-WÜ-Material'!$AP$110,IF('Daten-Materialien'!H189&gt;140,'Berechnung-WÜ-Material'!$AQ$110,"FEHLER"))))))</f>
        <v>5.3131194485671944</v>
      </c>
      <c r="R189" s="241">
        <f>IF(E189&lt;0.1,'Berechnung-WÜ-Material'!$AS$110,IF(AND(E189&gt;=0.1,E189&lt;0.3),'Berechnung-WÜ-Material'!$AT$110,IF(AND('Daten-Materialien'!E189&gt;=0.3,'Daten-Materialien'!E189&lt;0.6),'Berechnung-WÜ-Material'!$AU$110,IF(AND(E189&gt;=0.6,E189&lt;1),'Berechnung-WÜ-Material'!$AV$110,IF(AND('Daten-Materialien'!E189&gt;=1,'Daten-Materialien'!E189&lt;1.5),'Berechnung-WÜ-Material'!$AW$110,IF('Daten-Materialien'!E189&gt;1.5,'Berechnung-WÜ-Material'!$AX$110,"FEHLER"))))))</f>
        <v>5.4090960472347849</v>
      </c>
      <c r="S189" s="241">
        <f>IF(K189&lt;15,'Berechnung-WÜ-Material'!$AZ$110,IF(AND(K189&gt;=15,K189&lt;30),'Berechnung-WÜ-Material'!$BA$110,IF(AND('Daten-Materialien'!K189&gt;=30,'Daten-Materialien'!K189&lt;45),'Berechnung-WÜ-Material'!$BB$110,IF(AND(K189&gt;=45,K189&lt;60),'Berechnung-WÜ-Material'!$BC$110,IF(AND('Daten-Materialien'!K189&gt;=60,'Daten-Materialien'!K189&lt;75),'Berechnung-WÜ-Material'!$BD$110,IF('Daten-Materialien'!K189&gt;75,'Berechnung-WÜ-Material'!$BE$110,"FEHLER"))))))</f>
        <v>5.3164008462907759</v>
      </c>
      <c r="T189" s="241">
        <f>SUM(Q189:S189)+(L189*3*'Berechnung-WÜ-Material'!$G$22)</f>
        <v>16.038616342092755</v>
      </c>
      <c r="U189" s="241">
        <f t="shared" si="25"/>
        <v>48.291171642132866</v>
      </c>
      <c r="V189" s="241">
        <f>100/'Berechnung-WÜ-Material'!$BF$112*'Daten-Materialien'!T189</f>
        <v>78.288537082606283</v>
      </c>
      <c r="W189" s="241">
        <f t="shared" si="31"/>
        <v>63</v>
      </c>
      <c r="X189" s="241" t="str">
        <f t="shared" si="28"/>
        <v/>
      </c>
      <c r="Y189" s="241">
        <f t="shared" si="29"/>
        <v>3</v>
      </c>
      <c r="Z189" s="241" t="str">
        <f t="shared" si="30"/>
        <v/>
      </c>
      <c r="AB189" s="241" t="s">
        <v>692</v>
      </c>
    </row>
    <row r="190" spans="1:28" ht="26.25" x14ac:dyDescent="0.25">
      <c r="A190" s="241" t="str">
        <f t="shared" si="26"/>
        <v/>
      </c>
      <c r="B190" s="241" t="s">
        <v>762</v>
      </c>
      <c r="D190" s="339">
        <v>4.99E-2</v>
      </c>
      <c r="E190" s="241">
        <f t="shared" si="27"/>
        <v>4.99E-2</v>
      </c>
      <c r="G190" s="339">
        <v>118</v>
      </c>
      <c r="H190" s="241">
        <f t="shared" si="23"/>
        <v>118</v>
      </c>
      <c r="J190" s="339">
        <v>72.8</v>
      </c>
      <c r="K190" s="241">
        <f t="shared" si="24"/>
        <v>72.8</v>
      </c>
      <c r="L190" s="339">
        <v>0</v>
      </c>
      <c r="M190" s="241">
        <f>(67-363)/363*100</f>
        <v>-81.542699724517902</v>
      </c>
      <c r="N190" s="130" t="s">
        <v>763</v>
      </c>
      <c r="O190" s="241" t="s">
        <v>764</v>
      </c>
      <c r="Q190" s="241">
        <f>IF(H190&lt;60,'Berechnung-WÜ-Material'!$AL$110,IF(AND(H190&gt;=60,H190&lt;80),'Berechnung-WÜ-Material'!$AM$110,IF(AND('Daten-Materialien'!H190&gt;=80,'Daten-Materialien'!H190&lt;100),'Berechnung-WÜ-Material'!$AN$110,IF(AND(H190&gt;=100,H190&lt;120),'Berechnung-WÜ-Material'!$AO$110,IF(AND('Daten-Materialien'!H190&gt;=120,'Daten-Materialien'!H190&lt;140),'Berechnung-WÜ-Material'!$AP$110,IF('Daten-Materialien'!H190&gt;140,'Berechnung-WÜ-Material'!$AQ$110,"FEHLER"))))))</f>
        <v>3.4064092551223228</v>
      </c>
      <c r="R190" s="241">
        <f>IF(E190&lt;0.1,'Berechnung-WÜ-Material'!$AS$110,IF(AND(E190&gt;=0.1,E190&lt;0.3),'Berechnung-WÜ-Material'!$AT$110,IF(AND('Daten-Materialien'!E190&gt;=0.3,'Daten-Materialien'!E190&lt;0.6),'Berechnung-WÜ-Material'!$AU$110,IF(AND(E190&gt;=0.6,E190&lt;1),'Berechnung-WÜ-Material'!$AV$110,IF(AND('Daten-Materialien'!E190&gt;=1,'Daten-Materialien'!E190&lt;1.5),'Berechnung-WÜ-Material'!$AW$110,IF('Daten-Materialien'!E190&gt;1.5,'Berechnung-WÜ-Material'!$AX$110,"FEHLER"))))))</f>
        <v>5.4090960472347849</v>
      </c>
      <c r="S190" s="241">
        <f>IF(K190&lt;15,'Berechnung-WÜ-Material'!$AZ$110,IF(AND(K190&gt;=15,K190&lt;30),'Berechnung-WÜ-Material'!$BA$110,IF(AND('Daten-Materialien'!K190&gt;=30,'Daten-Materialien'!K190&lt;45),'Berechnung-WÜ-Material'!$BB$110,IF(AND(K190&gt;=45,K190&lt;60),'Berechnung-WÜ-Material'!$BC$110,IF(AND('Daten-Materialien'!K190&gt;=60,'Daten-Materialien'!K190&lt;75),'Berechnung-WÜ-Material'!$BD$110,IF('Daten-Materialien'!K190&gt;75,'Berechnung-WÜ-Material'!$BE$110,"FEHLER"))))))</f>
        <v>6.2037273307754397</v>
      </c>
      <c r="T190" s="241">
        <f>SUM(Q190:S190)+(L190*3*'Berechnung-WÜ-Material'!$G$22)</f>
        <v>15.019232633132548</v>
      </c>
      <c r="U190" s="241">
        <f t="shared" si="25"/>
        <v>44.515676423459688</v>
      </c>
      <c r="V190" s="241">
        <f>100/'Berechnung-WÜ-Material'!$BF$112*'Daten-Materialien'!T190</f>
        <v>73.312667743373581</v>
      </c>
      <c r="W190" s="241">
        <f t="shared" si="31"/>
        <v>92</v>
      </c>
      <c r="X190" s="241" t="str">
        <f t="shared" si="28"/>
        <v/>
      </c>
      <c r="Y190" s="241">
        <f t="shared" si="29"/>
        <v>3</v>
      </c>
      <c r="Z190" s="241" t="str">
        <f t="shared" si="30"/>
        <v/>
      </c>
      <c r="AB190" s="241" t="s">
        <v>691</v>
      </c>
    </row>
    <row r="191" spans="1:28" ht="26.25" x14ac:dyDescent="0.25">
      <c r="A191" s="241" t="str">
        <f t="shared" si="26"/>
        <v/>
      </c>
      <c r="B191" s="241" t="s">
        <v>765</v>
      </c>
      <c r="D191" s="339">
        <v>8.8900000000000007E-2</v>
      </c>
      <c r="E191" s="241">
        <f t="shared" si="27"/>
        <v>8.8900000000000007E-2</v>
      </c>
      <c r="G191" s="339">
        <v>92.6</v>
      </c>
      <c r="H191" s="241">
        <f t="shared" si="23"/>
        <v>92.6</v>
      </c>
      <c r="J191" s="337">
        <v>43</v>
      </c>
      <c r="K191" s="241">
        <f t="shared" si="24"/>
        <v>43</v>
      </c>
      <c r="L191" s="339">
        <v>0</v>
      </c>
      <c r="M191" s="241">
        <f>(94-363)/363*100</f>
        <v>-74.104683195592287</v>
      </c>
      <c r="N191" s="130" t="s">
        <v>763</v>
      </c>
      <c r="Q191" s="241">
        <f>IF(H191&lt;60,'Berechnung-WÜ-Material'!$AL$110,IF(AND(H191&gt;=60,H191&lt;80),'Berechnung-WÜ-Material'!$AM$110,IF(AND('Daten-Materialien'!H191&gt;=80,'Daten-Materialien'!H191&lt;100),'Berechnung-WÜ-Material'!$AN$110,IF(AND(H191&gt;=100,H191&lt;120),'Berechnung-WÜ-Material'!$AO$110,IF(AND('Daten-Materialien'!H191&gt;=120,'Daten-Materialien'!H191&lt;140),'Berechnung-WÜ-Material'!$AP$110,IF('Daten-Materialien'!H191&gt;140,'Berechnung-WÜ-Material'!$AQ$110,"FEHLER"))))))</f>
        <v>2.9517194566014666</v>
      </c>
      <c r="R191" s="241">
        <f>IF(E191&lt;0.1,'Berechnung-WÜ-Material'!$AS$110,IF(AND(E191&gt;=0.1,E191&lt;0.3),'Berechnung-WÜ-Material'!$AT$110,IF(AND('Daten-Materialien'!E191&gt;=0.3,'Daten-Materialien'!E191&lt;0.6),'Berechnung-WÜ-Material'!$AU$110,IF(AND(E191&gt;=0.6,E191&lt;1),'Berechnung-WÜ-Material'!$AV$110,IF(AND('Daten-Materialien'!E191&gt;=1,'Daten-Materialien'!E191&lt;1.5),'Berechnung-WÜ-Material'!$AW$110,IF('Daten-Materialien'!E191&gt;1.5,'Berechnung-WÜ-Material'!$AX$110,"FEHLER"))))))</f>
        <v>5.4090960472347849</v>
      </c>
      <c r="S191" s="241">
        <f>IF(K191&lt;15,'Berechnung-WÜ-Material'!$AZ$110,IF(AND(K191&gt;=15,K191&lt;30),'Berechnung-WÜ-Material'!$BA$110,IF(AND('Daten-Materialien'!K191&gt;=30,'Daten-Materialien'!K191&lt;45),'Berechnung-WÜ-Material'!$BB$110,IF(AND(K191&gt;=45,K191&lt;60),'Berechnung-WÜ-Material'!$BC$110,IF(AND('Daten-Materialien'!K191&gt;=60,'Daten-Materialien'!K191&lt;75),'Berechnung-WÜ-Material'!$BD$110,IF('Daten-Materialien'!K191&gt;75,'Berechnung-WÜ-Material'!$BE$110,"FEHLER"))))))</f>
        <v>5.9436257603083487</v>
      </c>
      <c r="T191" s="241">
        <f>SUM(Q191:S191)+(L191*3*'Berechnung-WÜ-Material'!$G$22)</f>
        <v>14.3044412641446</v>
      </c>
      <c r="U191" s="241">
        <f t="shared" si="25"/>
        <v>41.868300982551801</v>
      </c>
      <c r="V191" s="241">
        <f>100/'Berechnung-WÜ-Material'!$BF$112*'Daten-Materialien'!T191</f>
        <v>69.82359054346108</v>
      </c>
      <c r="W191" s="241">
        <f t="shared" si="31"/>
        <v>115</v>
      </c>
      <c r="X191" s="241" t="str">
        <f t="shared" si="28"/>
        <v/>
      </c>
      <c r="Y191" s="241">
        <f t="shared" si="29"/>
        <v>3</v>
      </c>
      <c r="Z191" s="241" t="str">
        <f t="shared" si="30"/>
        <v/>
      </c>
      <c r="AB191" s="241" t="s">
        <v>842</v>
      </c>
    </row>
    <row r="192" spans="1:28" ht="26.25" x14ac:dyDescent="0.25">
      <c r="A192" s="241" t="str">
        <f t="shared" si="26"/>
        <v/>
      </c>
      <c r="B192" s="241" t="s">
        <v>881</v>
      </c>
      <c r="D192" s="339">
        <v>8.0600000000000005E-2</v>
      </c>
      <c r="E192" s="241">
        <f t="shared" si="27"/>
        <v>8.0600000000000005E-2</v>
      </c>
      <c r="G192" s="339">
        <v>81.900000000000006</v>
      </c>
      <c r="H192" s="241">
        <f t="shared" si="23"/>
        <v>81.900000000000006</v>
      </c>
      <c r="J192" s="337">
        <v>50</v>
      </c>
      <c r="K192" s="241">
        <f t="shared" si="24"/>
        <v>50</v>
      </c>
      <c r="L192" s="339">
        <v>0</v>
      </c>
      <c r="M192" s="241">
        <v>-100</v>
      </c>
      <c r="N192" s="130" t="s">
        <v>763</v>
      </c>
      <c r="Q192" s="241">
        <f>IF(H192&lt;60,'Berechnung-WÜ-Material'!$AL$110,IF(AND(H192&gt;=60,H192&lt;80),'Berechnung-WÜ-Material'!$AM$110,IF(AND('Daten-Materialien'!H192&gt;=80,'Daten-Materialien'!H192&lt;100),'Berechnung-WÜ-Material'!$AN$110,IF(AND(H192&gt;=100,H192&lt;120),'Berechnung-WÜ-Material'!$AO$110,IF(AND('Daten-Materialien'!H192&gt;=120,'Daten-Materialien'!H192&lt;140),'Berechnung-WÜ-Material'!$AP$110,IF('Daten-Materialien'!H192&gt;140,'Berechnung-WÜ-Material'!$AQ$110,"FEHLER"))))))</f>
        <v>2.9517194566014666</v>
      </c>
      <c r="R192" s="241">
        <f>IF(E192&lt;0.1,'Berechnung-WÜ-Material'!$AS$110,IF(AND(E192&gt;=0.1,E192&lt;0.3),'Berechnung-WÜ-Material'!$AT$110,IF(AND('Daten-Materialien'!E192&gt;=0.3,'Daten-Materialien'!E192&lt;0.6),'Berechnung-WÜ-Material'!$AU$110,IF(AND(E192&gt;=0.6,E192&lt;1),'Berechnung-WÜ-Material'!$AV$110,IF(AND('Daten-Materialien'!E192&gt;=1,'Daten-Materialien'!E192&lt;1.5),'Berechnung-WÜ-Material'!$AW$110,IF('Daten-Materialien'!E192&gt;1.5,'Berechnung-WÜ-Material'!$AX$110,"FEHLER"))))))</f>
        <v>5.4090960472347849</v>
      </c>
      <c r="S192" s="241">
        <f>IF(K192&lt;15,'Berechnung-WÜ-Material'!$AZ$110,IF(AND(K192&gt;=15,K192&lt;30),'Berechnung-WÜ-Material'!$BA$110,IF(AND('Daten-Materialien'!K192&gt;=30,'Daten-Materialien'!K192&lt;45),'Berechnung-WÜ-Material'!$BB$110,IF(AND(K192&gt;=45,K192&lt;60),'Berechnung-WÜ-Material'!$BC$110,IF(AND('Daten-Materialien'!K192&gt;=60,'Daten-Materialien'!K192&lt;75),'Berechnung-WÜ-Material'!$BD$110,IF('Daten-Materialien'!K192&gt;75,'Berechnung-WÜ-Material'!$BE$110,"FEHLER"))))))</f>
        <v>2.6681383364247617</v>
      </c>
      <c r="T192" s="241">
        <f>SUM(Q192:S192)+(L192*3*'Berechnung-WÜ-Material'!$G$22)</f>
        <v>11.028953840261014</v>
      </c>
      <c r="U192" s="241">
        <f t="shared" si="25"/>
        <v>29.736866078308744</v>
      </c>
      <c r="V192" s="241">
        <f>100/'Berechnung-WÜ-Material'!$BF$112*'Daten-Materialien'!T192</f>
        <v>53.835109169583369</v>
      </c>
      <c r="W192" s="241">
        <f t="shared" si="31"/>
        <v>208</v>
      </c>
      <c r="X192" s="241" t="str">
        <f t="shared" si="28"/>
        <v/>
      </c>
      <c r="Y192" s="241">
        <f t="shared" si="29"/>
        <v>3</v>
      </c>
      <c r="Z192" s="241" t="str">
        <f t="shared" si="30"/>
        <v/>
      </c>
      <c r="AB192" s="241" t="s">
        <v>845</v>
      </c>
    </row>
    <row r="193" spans="1:28" ht="26.25" x14ac:dyDescent="0.25">
      <c r="A193" s="241" t="str">
        <f t="shared" si="26"/>
        <v/>
      </c>
      <c r="B193" s="241" t="s">
        <v>766</v>
      </c>
      <c r="D193" s="339">
        <v>0.1087</v>
      </c>
      <c r="E193" s="241">
        <f t="shared" si="27"/>
        <v>0.1087</v>
      </c>
      <c r="G193" s="339">
        <v>51.4</v>
      </c>
      <c r="H193" s="241">
        <f t="shared" si="23"/>
        <v>51.4</v>
      </c>
      <c r="J193" s="337">
        <v>41</v>
      </c>
      <c r="K193" s="241">
        <f t="shared" si="24"/>
        <v>41</v>
      </c>
      <c r="L193" s="339">
        <v>0.5</v>
      </c>
      <c r="M193" s="241">
        <f>(130-363)/363*100</f>
        <v>-64.187327823691462</v>
      </c>
      <c r="N193" s="130" t="s">
        <v>763</v>
      </c>
      <c r="Q193" s="241">
        <f>IF(H193&lt;60,'Berechnung-WÜ-Material'!$AL$110,IF(AND(H193&gt;=60,H193&lt;80),'Berechnung-WÜ-Material'!$AM$110,IF(AND('Daten-Materialien'!H193&gt;=80,'Daten-Materialien'!H193&lt;100),'Berechnung-WÜ-Material'!$AN$110,IF(AND(H193&gt;=100,H193&lt;120),'Berechnung-WÜ-Material'!$AO$110,IF(AND('Daten-Materialien'!H193&gt;=120,'Daten-Materialien'!H193&lt;140),'Berechnung-WÜ-Material'!$AP$110,IF('Daten-Materialien'!H193&gt;140,'Berechnung-WÜ-Material'!$AQ$110,"FEHLER"))))))</f>
        <v>2.2063369805171464</v>
      </c>
      <c r="R193" s="241">
        <f>IF(E193&lt;0.1,'Berechnung-WÜ-Material'!$AS$110,IF(AND(E193&gt;=0.1,E193&lt;0.3),'Berechnung-WÜ-Material'!$AT$110,IF(AND('Daten-Materialien'!E193&gt;=0.3,'Daten-Materialien'!E193&lt;0.6),'Berechnung-WÜ-Material'!$AU$110,IF(AND(E193&gt;=0.6,E193&lt;1),'Berechnung-WÜ-Material'!$AV$110,IF(AND('Daten-Materialien'!E193&gt;=1,'Daten-Materialien'!E193&lt;1.5),'Berechnung-WÜ-Material'!$AW$110,IF('Daten-Materialien'!E193&gt;1.5,'Berechnung-WÜ-Material'!$AX$110,"FEHLER"))))))</f>
        <v>8.1415883793382715</v>
      </c>
      <c r="S193" s="241">
        <f>IF(K193&lt;15,'Berechnung-WÜ-Material'!$AZ$110,IF(AND(K193&gt;=15,K193&lt;30),'Berechnung-WÜ-Material'!$BA$110,IF(AND('Daten-Materialien'!K193&gt;=30,'Daten-Materialien'!K193&lt;45),'Berechnung-WÜ-Material'!$BB$110,IF(AND(K193&gt;=45,K193&lt;60),'Berechnung-WÜ-Material'!$BC$110,IF(AND('Daten-Materialien'!K193&gt;=60,'Daten-Materialien'!K193&lt;75),'Berechnung-WÜ-Material'!$BD$110,IF('Daten-Materialien'!K193&gt;75,'Berechnung-WÜ-Material'!$BE$110,"FEHLER"))))))</f>
        <v>5.9436257603083487</v>
      </c>
      <c r="T193" s="241">
        <f>SUM(Q193:S193)+(L193*3*'Berechnung-WÜ-Material'!$G$22)</f>
        <v>17.119660913995617</v>
      </c>
      <c r="U193" s="241">
        <f t="shared" si="25"/>
        <v>52.295040427278593</v>
      </c>
      <c r="V193" s="241">
        <f>100/'Berechnung-WÜ-Material'!$BF$112*'Daten-Materialien'!T193</f>
        <v>83.565388666944656</v>
      </c>
      <c r="W193" s="241">
        <f t="shared" si="31"/>
        <v>10</v>
      </c>
      <c r="X193" s="241" t="str">
        <f t="shared" si="28"/>
        <v/>
      </c>
      <c r="Y193" s="241">
        <f t="shared" si="29"/>
        <v>3</v>
      </c>
      <c r="Z193" s="241" t="str">
        <f t="shared" si="30"/>
        <v/>
      </c>
      <c r="AB193" s="241" t="s">
        <v>846</v>
      </c>
    </row>
    <row r="194" spans="1:28" ht="90" x14ac:dyDescent="0.25">
      <c r="A194" s="241" t="str">
        <f t="shared" si="26"/>
        <v/>
      </c>
      <c r="B194" s="241" t="s">
        <v>767</v>
      </c>
      <c r="D194" s="339">
        <v>5.5199999999999999E-2</v>
      </c>
      <c r="E194" s="241">
        <f t="shared" si="27"/>
        <v>5.5199999999999999E-2</v>
      </c>
      <c r="G194" s="339">
        <v>54</v>
      </c>
      <c r="H194" s="241">
        <f t="shared" si="23"/>
        <v>54</v>
      </c>
      <c r="J194" s="241">
        <v>25.9</v>
      </c>
      <c r="K194" s="241">
        <f t="shared" si="24"/>
        <v>25.9</v>
      </c>
      <c r="L194" s="339">
        <v>0</v>
      </c>
      <c r="M194" s="241">
        <f>(59-363)/363*100</f>
        <v>-83.746556473829202</v>
      </c>
      <c r="N194" s="130" t="s">
        <v>763</v>
      </c>
      <c r="O194" s="130" t="s">
        <v>768</v>
      </c>
      <c r="Q194" s="241">
        <f>IF(H194&lt;60,'Berechnung-WÜ-Material'!$AL$110,IF(AND(H194&gt;=60,H194&lt;80),'Berechnung-WÜ-Material'!$AM$110,IF(AND('Daten-Materialien'!H194&gt;=80,'Daten-Materialien'!H194&lt;100),'Berechnung-WÜ-Material'!$AN$110,IF(AND(H194&gt;=100,H194&lt;120),'Berechnung-WÜ-Material'!$AO$110,IF(AND('Daten-Materialien'!H194&gt;=120,'Daten-Materialien'!H194&lt;140),'Berechnung-WÜ-Material'!$AP$110,IF('Daten-Materialien'!H194&gt;140,'Berechnung-WÜ-Material'!$AQ$110,"FEHLER"))))))</f>
        <v>2.2063369805171464</v>
      </c>
      <c r="R194" s="241">
        <f>IF(E194&lt;0.1,'Berechnung-WÜ-Material'!$AS$110,IF(AND(E194&gt;=0.1,E194&lt;0.3),'Berechnung-WÜ-Material'!$AT$110,IF(AND('Daten-Materialien'!E194&gt;=0.3,'Daten-Materialien'!E194&lt;0.6),'Berechnung-WÜ-Material'!$AU$110,IF(AND(E194&gt;=0.6,E194&lt;1),'Berechnung-WÜ-Material'!$AV$110,IF(AND('Daten-Materialien'!E194&gt;=1,'Daten-Materialien'!E194&lt;1.5),'Berechnung-WÜ-Material'!$AW$110,IF('Daten-Materialien'!E194&gt;1.5,'Berechnung-WÜ-Material'!$AX$110,"FEHLER"))))))</f>
        <v>5.4090960472347849</v>
      </c>
      <c r="S194" s="241">
        <f>IF(K194&lt;15,'Berechnung-WÜ-Material'!$AZ$110,IF(AND(K194&gt;=15,K194&lt;30),'Berechnung-WÜ-Material'!$BA$110,IF(AND('Daten-Materialien'!K194&gt;=30,'Daten-Materialien'!K194&lt;45),'Berechnung-WÜ-Material'!$BB$110,IF(AND(K194&gt;=45,K194&lt;60),'Berechnung-WÜ-Material'!$BC$110,IF(AND('Daten-Materialien'!K194&gt;=60,'Daten-Materialien'!K194&lt;75),'Berechnung-WÜ-Material'!$BD$110,IF('Daten-Materialien'!K194&gt;75,'Berechnung-WÜ-Material'!$BE$110,"FEHLER"))))))</f>
        <v>5.3164008462907759</v>
      </c>
      <c r="T194" s="241">
        <f>SUM(Q194:S194)+(L194*3*'Berechnung-WÜ-Material'!$G$22)</f>
        <v>12.931833874042708</v>
      </c>
      <c r="U194" s="241">
        <f t="shared" si="25"/>
        <v>36.784569907693644</v>
      </c>
      <c r="V194" s="241">
        <f>100/'Berechnung-WÜ-Material'!$BF$112*'Daten-Materialien'!T194</f>
        <v>63.123547206316829</v>
      </c>
      <c r="W194" s="241">
        <f t="shared" si="31"/>
        <v>168</v>
      </c>
      <c r="X194" s="241" t="str">
        <f t="shared" si="28"/>
        <v/>
      </c>
      <c r="Y194" s="241">
        <f t="shared" si="29"/>
        <v>3</v>
      </c>
      <c r="Z194" s="241" t="str">
        <f t="shared" si="30"/>
        <v/>
      </c>
      <c r="AB194" s="241" t="s">
        <v>847</v>
      </c>
    </row>
    <row r="195" spans="1:28" ht="39" x14ac:dyDescent="0.25">
      <c r="A195" s="241" t="str">
        <f t="shared" si="26"/>
        <v/>
      </c>
      <c r="B195" s="241" t="s">
        <v>894</v>
      </c>
      <c r="D195" s="339">
        <v>1.1000000000000001</v>
      </c>
      <c r="E195" s="241">
        <f t="shared" si="27"/>
        <v>1.1000000000000001</v>
      </c>
      <c r="G195" s="339">
        <v>120</v>
      </c>
      <c r="H195" s="241">
        <f t="shared" si="23"/>
        <v>120</v>
      </c>
      <c r="J195" s="339">
        <v>15</v>
      </c>
      <c r="K195" s="241">
        <f t="shared" si="24"/>
        <v>15</v>
      </c>
      <c r="L195" s="339">
        <v>0</v>
      </c>
      <c r="M195" s="241">
        <f>(3.15-5.11)/5.11*100</f>
        <v>-38.356164383561648</v>
      </c>
      <c r="N195" s="130" t="s">
        <v>769</v>
      </c>
      <c r="Q195" s="241">
        <f>IF(H195&lt;60,'Berechnung-WÜ-Material'!$AL$110,IF(AND(H195&gt;=60,H195&lt;80),'Berechnung-WÜ-Material'!$AM$110,IF(AND('Daten-Materialien'!H195&gt;=80,'Daten-Materialien'!H195&lt;100),'Berechnung-WÜ-Material'!$AN$110,IF(AND(H195&gt;=100,H195&lt;120),'Berechnung-WÜ-Material'!$AO$110,IF(AND('Daten-Materialien'!H195&gt;=120,'Daten-Materialien'!H195&lt;140),'Berechnung-WÜ-Material'!$AP$110,IF('Daten-Materialien'!H195&gt;140,'Berechnung-WÜ-Material'!$AQ$110,"FEHLER"))))))</f>
        <v>2.7550019539188941</v>
      </c>
      <c r="R195" s="241">
        <f>IF(E195&lt;0.1,'Berechnung-WÜ-Material'!$AS$110,IF(AND(E195&gt;=0.1,E195&lt;0.3),'Berechnung-WÜ-Material'!$AT$110,IF(AND('Daten-Materialien'!E195&gt;=0.3,'Daten-Materialien'!E195&lt;0.6),'Berechnung-WÜ-Material'!$AU$110,IF(AND(E195&gt;=0.6,E195&lt;1),'Berechnung-WÜ-Material'!$AV$110,IF(AND('Daten-Materialien'!E195&gt;=1,'Daten-Materialien'!E195&lt;1.5),'Berechnung-WÜ-Material'!$AW$110,IF('Daten-Materialien'!E195&gt;1.5,'Berechnung-WÜ-Material'!$AX$110,"FEHLER"))))))</f>
        <v>3.6900162641574328</v>
      </c>
      <c r="S195" s="241">
        <f>IF(K195&lt;15,'Berechnung-WÜ-Material'!$AZ$110,IF(AND(K195&gt;=15,K195&lt;30),'Berechnung-WÜ-Material'!$BA$110,IF(AND('Daten-Materialien'!K195&gt;=30,'Daten-Materialien'!K195&lt;45),'Berechnung-WÜ-Material'!$BB$110,IF(AND(K195&gt;=45,K195&lt;60),'Berechnung-WÜ-Material'!$BC$110,IF(AND('Daten-Materialien'!K195&gt;=60,'Daten-Materialien'!K195&lt;75),'Berechnung-WÜ-Material'!$BD$110,IF('Daten-Materialien'!K195&gt;75,'Berechnung-WÜ-Material'!$BE$110,"FEHLER"))))))</f>
        <v>5.3164008462907759</v>
      </c>
      <c r="T195" s="241">
        <f>SUM(Q195:S195)+(L195*3*'Berechnung-WÜ-Material'!$G$22)</f>
        <v>11.761419064367104</v>
      </c>
      <c r="U195" s="241">
        <f t="shared" si="25"/>
        <v>32.449700241881658</v>
      </c>
      <c r="V195" s="241">
        <f>100/'Berechnung-WÜ-Material'!$BF$112*'Daten-Materialien'!T195</f>
        <v>57.41045692004068</v>
      </c>
      <c r="W195" s="241">
        <f t="shared" ref="W195:W226" si="32">RANK(V195,$V$2:$V$238)</f>
        <v>200</v>
      </c>
      <c r="X195" s="241" t="str">
        <f t="shared" si="28"/>
        <v/>
      </c>
      <c r="Y195" s="241">
        <f t="shared" si="29"/>
        <v>3</v>
      </c>
      <c r="Z195" s="241" t="str">
        <f t="shared" si="30"/>
        <v/>
      </c>
      <c r="AB195" s="241" t="s">
        <v>843</v>
      </c>
    </row>
    <row r="196" spans="1:28" ht="39" x14ac:dyDescent="0.25">
      <c r="A196" s="241" t="str">
        <f t="shared" si="26"/>
        <v/>
      </c>
      <c r="B196" s="241" t="s">
        <v>770</v>
      </c>
      <c r="D196" s="339">
        <v>1.7</v>
      </c>
      <c r="E196" s="241">
        <f t="shared" si="27"/>
        <v>1.7</v>
      </c>
      <c r="G196" s="339">
        <v>100</v>
      </c>
      <c r="H196" s="241">
        <f t="shared" si="23"/>
        <v>100</v>
      </c>
      <c r="J196" s="339">
        <v>23</v>
      </c>
      <c r="K196" s="241">
        <f t="shared" si="24"/>
        <v>23</v>
      </c>
      <c r="L196" s="339">
        <v>0</v>
      </c>
      <c r="M196" s="241">
        <f>(3.89-5.11)/5.11*100</f>
        <v>-23.874755381604697</v>
      </c>
      <c r="N196" s="130" t="s">
        <v>769</v>
      </c>
      <c r="Q196" s="241">
        <f>IF(H196&lt;60,'Berechnung-WÜ-Material'!$AL$110,IF(AND(H196&gt;=60,H196&lt;80),'Berechnung-WÜ-Material'!$AM$110,IF(AND('Daten-Materialien'!H196&gt;=80,'Daten-Materialien'!H196&lt;100),'Berechnung-WÜ-Material'!$AN$110,IF(AND(H196&gt;=100,H196&lt;120),'Berechnung-WÜ-Material'!$AO$110,IF(AND('Daten-Materialien'!H196&gt;=120,'Daten-Materialien'!H196&lt;140),'Berechnung-WÜ-Material'!$AP$110,IF('Daten-Materialien'!H196&gt;140,'Berechnung-WÜ-Material'!$AQ$110,"FEHLER"))))))</f>
        <v>3.4064092551223228</v>
      </c>
      <c r="R196" s="241">
        <f>IF(E196&lt;0.1,'Berechnung-WÜ-Material'!$AS$110,IF(AND(E196&gt;=0.1,E196&lt;0.3),'Berechnung-WÜ-Material'!$AT$110,IF(AND('Daten-Materialien'!E196&gt;=0.3,'Daten-Materialien'!E196&lt;0.6),'Berechnung-WÜ-Material'!$AU$110,IF(AND(E196&gt;=0.6,E196&lt;1),'Berechnung-WÜ-Material'!$AV$110,IF(AND('Daten-Materialien'!E196&gt;=1,'Daten-Materialien'!E196&lt;1.5),'Berechnung-WÜ-Material'!$AW$110,IF('Daten-Materialien'!E196&gt;1.5,'Berechnung-WÜ-Material'!$AX$110,"FEHLER"))))))</f>
        <v>5.4606109077360685</v>
      </c>
      <c r="S196" s="241">
        <f>IF(K196&lt;15,'Berechnung-WÜ-Material'!$AZ$110,IF(AND(K196&gt;=15,K196&lt;30),'Berechnung-WÜ-Material'!$BA$110,IF(AND('Daten-Materialien'!K196&gt;=30,'Daten-Materialien'!K196&lt;45),'Berechnung-WÜ-Material'!$BB$110,IF(AND(K196&gt;=45,K196&lt;60),'Berechnung-WÜ-Material'!$BC$110,IF(AND('Daten-Materialien'!K196&gt;=60,'Daten-Materialien'!K196&lt;75),'Berechnung-WÜ-Material'!$BD$110,IF('Daten-Materialien'!K196&gt;75,'Berechnung-WÜ-Material'!$BE$110,"FEHLER"))))))</f>
        <v>5.3164008462907759</v>
      </c>
      <c r="T196" s="241">
        <f>SUM(Q196:S196)+(L196*3*'Berechnung-WÜ-Material'!$G$22)</f>
        <v>14.183421009149168</v>
      </c>
      <c r="U196" s="241">
        <f t="shared" si="25"/>
        <v>41.420077815866193</v>
      </c>
      <c r="V196" s="241">
        <f>100/'Berechnung-WÜ-Material'!$BF$112*'Daten-Materialien'!T196</f>
        <v>69.23286011392328</v>
      </c>
      <c r="W196" s="241">
        <f t="shared" si="32"/>
        <v>126</v>
      </c>
      <c r="X196" s="241" t="str">
        <f t="shared" si="28"/>
        <v/>
      </c>
      <c r="Y196" s="241">
        <f t="shared" si="29"/>
        <v>3</v>
      </c>
      <c r="Z196" s="241" t="str">
        <f t="shared" si="30"/>
        <v/>
      </c>
      <c r="AB196" s="241" t="s">
        <v>844</v>
      </c>
    </row>
    <row r="197" spans="1:28" ht="39" x14ac:dyDescent="0.25">
      <c r="A197" s="241" t="str">
        <f t="shared" si="26"/>
        <v/>
      </c>
      <c r="B197" s="241" t="s">
        <v>771</v>
      </c>
      <c r="D197" s="339">
        <v>2</v>
      </c>
      <c r="E197" s="241">
        <f t="shared" si="27"/>
        <v>2</v>
      </c>
      <c r="G197" s="339">
        <v>98</v>
      </c>
      <c r="H197" s="241">
        <f t="shared" si="23"/>
        <v>98</v>
      </c>
      <c r="J197" s="339">
        <v>29</v>
      </c>
      <c r="K197" s="241">
        <f t="shared" si="24"/>
        <v>29</v>
      </c>
      <c r="L197" s="339">
        <v>0</v>
      </c>
      <c r="M197" s="241">
        <f>(4.4-5.11)/5.11*100</f>
        <v>-13.894324853228962</v>
      </c>
      <c r="N197" s="130" t="s">
        <v>769</v>
      </c>
      <c r="Q197" s="241">
        <f>IF(H197&lt;60,'Berechnung-WÜ-Material'!$AL$110,IF(AND(H197&gt;=60,H197&lt;80),'Berechnung-WÜ-Material'!$AM$110,IF(AND('Daten-Materialien'!H197&gt;=80,'Daten-Materialien'!H197&lt;100),'Berechnung-WÜ-Material'!$AN$110,IF(AND(H197&gt;=100,H197&lt;120),'Berechnung-WÜ-Material'!$AO$110,IF(AND('Daten-Materialien'!H197&gt;=120,'Daten-Materialien'!H197&lt;140),'Berechnung-WÜ-Material'!$AP$110,IF('Daten-Materialien'!H197&gt;140,'Berechnung-WÜ-Material'!$AQ$110,"FEHLER"))))))</f>
        <v>2.9517194566014666</v>
      </c>
      <c r="R197" s="241">
        <f>IF(E197&lt;0.1,'Berechnung-WÜ-Material'!$AS$110,IF(AND(E197&gt;=0.1,E197&lt;0.3),'Berechnung-WÜ-Material'!$AT$110,IF(AND('Daten-Materialien'!E197&gt;=0.3,'Daten-Materialien'!E197&lt;0.6),'Berechnung-WÜ-Material'!$AU$110,IF(AND(E197&gt;=0.6,E197&lt;1),'Berechnung-WÜ-Material'!$AV$110,IF(AND('Daten-Materialien'!E197&gt;=1,'Daten-Materialien'!E197&lt;1.5),'Berechnung-WÜ-Material'!$AW$110,IF('Daten-Materialien'!E197&gt;1.5,'Berechnung-WÜ-Material'!$AX$110,"FEHLER"))))))</f>
        <v>5.4606109077360685</v>
      </c>
      <c r="S197" s="241">
        <f>IF(K197&lt;15,'Berechnung-WÜ-Material'!$AZ$110,IF(AND(K197&gt;=15,K197&lt;30),'Berechnung-WÜ-Material'!$BA$110,IF(AND('Daten-Materialien'!K197&gt;=30,'Daten-Materialien'!K197&lt;45),'Berechnung-WÜ-Material'!$BB$110,IF(AND(K197&gt;=45,K197&lt;60),'Berechnung-WÜ-Material'!$BC$110,IF(AND('Daten-Materialien'!K197&gt;=60,'Daten-Materialien'!K197&lt;75),'Berechnung-WÜ-Material'!$BD$110,IF('Daten-Materialien'!K197&gt;75,'Berechnung-WÜ-Material'!$BE$110,"FEHLER"))))))</f>
        <v>5.3164008462907759</v>
      </c>
      <c r="T197" s="241">
        <f>SUM(Q197:S197)+(L197*3*'Berechnung-WÜ-Material'!$G$22)</f>
        <v>13.728731210628311</v>
      </c>
      <c r="U197" s="241">
        <f t="shared" si="25"/>
        <v>39.736041524913482</v>
      </c>
      <c r="V197" s="241">
        <f>100/'Berechnung-WÜ-Material'!$BF$112*'Daten-Materialien'!T197</f>
        <v>67.013404370776669</v>
      </c>
      <c r="W197" s="241">
        <f t="shared" si="32"/>
        <v>143</v>
      </c>
      <c r="X197" s="241" t="str">
        <f t="shared" si="28"/>
        <v/>
      </c>
      <c r="Y197" s="241">
        <f t="shared" si="29"/>
        <v>3</v>
      </c>
      <c r="Z197" s="241" t="str">
        <f t="shared" si="30"/>
        <v/>
      </c>
      <c r="AB197" s="241" t="s">
        <v>903</v>
      </c>
    </row>
    <row r="198" spans="1:28" ht="39" x14ac:dyDescent="0.25">
      <c r="A198" s="241" t="str">
        <f t="shared" si="26"/>
        <v/>
      </c>
      <c r="B198" s="241" t="s">
        <v>772</v>
      </c>
      <c r="D198" s="339">
        <v>2.7</v>
      </c>
      <c r="E198" s="241">
        <f t="shared" si="27"/>
        <v>2.7</v>
      </c>
      <c r="G198" s="339">
        <v>132</v>
      </c>
      <c r="H198" s="241">
        <f t="shared" ref="H198:H238" si="33">AVERAGE(F198:G198)</f>
        <v>132</v>
      </c>
      <c r="J198" s="339">
        <v>13</v>
      </c>
      <c r="K198" s="241">
        <f t="shared" ref="K198:K238" si="34">AVERAGE(I198:J198)</f>
        <v>13</v>
      </c>
      <c r="L198" s="339">
        <v>0</v>
      </c>
      <c r="M198" s="241">
        <f>(3.42-5.11)/5.11*100</f>
        <v>-33.07240704500979</v>
      </c>
      <c r="N198" s="130" t="s">
        <v>769</v>
      </c>
      <c r="Q198" s="241">
        <f>IF(H198&lt;60,'Berechnung-WÜ-Material'!$AL$110,IF(AND(H198&gt;=60,H198&lt;80),'Berechnung-WÜ-Material'!$AM$110,IF(AND('Daten-Materialien'!H198&gt;=80,'Daten-Materialien'!H198&lt;100),'Berechnung-WÜ-Material'!$AN$110,IF(AND(H198&gt;=100,H198&lt;120),'Berechnung-WÜ-Material'!$AO$110,IF(AND('Daten-Materialien'!H198&gt;=120,'Daten-Materialien'!H198&lt;140),'Berechnung-WÜ-Material'!$AP$110,IF('Daten-Materialien'!H198&gt;140,'Berechnung-WÜ-Material'!$AQ$110,"FEHLER"))))))</f>
        <v>2.7550019539188941</v>
      </c>
      <c r="R198" s="241">
        <f>IF(E198&lt;0.1,'Berechnung-WÜ-Material'!$AS$110,IF(AND(E198&gt;=0.1,E198&lt;0.3),'Berechnung-WÜ-Material'!$AT$110,IF(AND('Daten-Materialien'!E198&gt;=0.3,'Daten-Materialien'!E198&lt;0.6),'Berechnung-WÜ-Material'!$AU$110,IF(AND(E198&gt;=0.6,E198&lt;1),'Berechnung-WÜ-Material'!$AV$110,IF(AND('Daten-Materialien'!E198&gt;=1,'Daten-Materialien'!E198&lt;1.5),'Berechnung-WÜ-Material'!$AW$110,IF('Daten-Materialien'!E198&gt;1.5,'Berechnung-WÜ-Material'!$AX$110,"FEHLER"))))))</f>
        <v>5.4606109077360685</v>
      </c>
      <c r="S198" s="241">
        <f>IF(K198&lt;15,'Berechnung-WÜ-Material'!$AZ$110,IF(AND(K198&gt;=15,K198&lt;30),'Berechnung-WÜ-Material'!$BA$110,IF(AND('Daten-Materialien'!K198&gt;=30,'Daten-Materialien'!K198&lt;45),'Berechnung-WÜ-Material'!$BB$110,IF(AND(K198&gt;=45,K198&lt;60),'Berechnung-WÜ-Material'!$BC$110,IF(AND('Daten-Materialien'!K198&gt;=60,'Daten-Materialien'!K198&lt;75),'Berechnung-WÜ-Material'!$BD$110,IF('Daten-Materialien'!K198&gt;75,'Berechnung-WÜ-Material'!$BE$110,"FEHLER"))))))</f>
        <v>3.4607748084549512</v>
      </c>
      <c r="T198" s="241">
        <f>SUM(Q198:S198)+(L198*3*'Berechnung-WÜ-Material'!$G$22)</f>
        <v>11.676387670109914</v>
      </c>
      <c r="U198" s="241">
        <f t="shared" ref="U198:U238" si="35">3.703703704*T198-11.111111111111</f>
        <v>32.134769152015018</v>
      </c>
      <c r="V198" s="241">
        <f>100/'Berechnung-WÜ-Material'!$BF$112*'Daten-Materialien'!T198</f>
        <v>56.995397209121684</v>
      </c>
      <c r="W198" s="241">
        <f t="shared" si="32"/>
        <v>201</v>
      </c>
      <c r="X198" s="241" t="str">
        <f t="shared" si="28"/>
        <v/>
      </c>
      <c r="Y198" s="241">
        <f t="shared" si="29"/>
        <v>3</v>
      </c>
      <c r="Z198" s="241" t="str">
        <f t="shared" si="30"/>
        <v/>
      </c>
      <c r="AB198" s="235" t="s">
        <v>904</v>
      </c>
    </row>
    <row r="199" spans="1:28" ht="39" x14ac:dyDescent="0.25">
      <c r="A199" s="241" t="str">
        <f t="shared" ref="A199:A238" si="36">Z199</f>
        <v/>
      </c>
      <c r="B199" s="241" t="s">
        <v>773</v>
      </c>
      <c r="D199" s="339">
        <v>1.55</v>
      </c>
      <c r="E199" s="241">
        <f t="shared" ref="E199:E238" si="37">AVERAGE(C199:D199)</f>
        <v>1.55</v>
      </c>
      <c r="G199" s="339">
        <v>82</v>
      </c>
      <c r="H199" s="241">
        <f t="shared" si="33"/>
        <v>82</v>
      </c>
      <c r="J199" s="338">
        <v>42</v>
      </c>
      <c r="K199" s="241">
        <f t="shared" si="34"/>
        <v>42</v>
      </c>
      <c r="L199" s="339">
        <v>0</v>
      </c>
      <c r="M199" s="241">
        <v>0</v>
      </c>
      <c r="N199" s="130" t="s">
        <v>774</v>
      </c>
      <c r="Q199" s="241">
        <f>IF(H199&lt;60,'Berechnung-WÜ-Material'!$AL$110,IF(AND(H199&gt;=60,H199&lt;80),'Berechnung-WÜ-Material'!$AM$110,IF(AND('Daten-Materialien'!H199&gt;=80,'Daten-Materialien'!H199&lt;100),'Berechnung-WÜ-Material'!$AN$110,IF(AND(H199&gt;=100,H199&lt;120),'Berechnung-WÜ-Material'!$AO$110,IF(AND('Daten-Materialien'!H199&gt;=120,'Daten-Materialien'!H199&lt;140),'Berechnung-WÜ-Material'!$AP$110,IF('Daten-Materialien'!H199&gt;140,'Berechnung-WÜ-Material'!$AQ$110,"FEHLER"))))))</f>
        <v>2.9517194566014666</v>
      </c>
      <c r="R199" s="241">
        <f>IF(E199&lt;0.1,'Berechnung-WÜ-Material'!$AS$110,IF(AND(E199&gt;=0.1,E199&lt;0.3),'Berechnung-WÜ-Material'!$AT$110,IF(AND('Daten-Materialien'!E199&gt;=0.3,'Daten-Materialien'!E199&lt;0.6),'Berechnung-WÜ-Material'!$AU$110,IF(AND(E199&gt;=0.6,E199&lt;1),'Berechnung-WÜ-Material'!$AV$110,IF(AND('Daten-Materialien'!E199&gt;=1,'Daten-Materialien'!E199&lt;1.5),'Berechnung-WÜ-Material'!$AW$110,IF('Daten-Materialien'!E199&gt;1.5,'Berechnung-WÜ-Material'!$AX$110,"FEHLER"))))))</f>
        <v>5.4606109077360685</v>
      </c>
      <c r="S199" s="241">
        <f>IF(K199&lt;15,'Berechnung-WÜ-Material'!$AZ$110,IF(AND(K199&gt;=15,K199&lt;30),'Berechnung-WÜ-Material'!$BA$110,IF(AND('Daten-Materialien'!K199&gt;=30,'Daten-Materialien'!K199&lt;45),'Berechnung-WÜ-Material'!$BB$110,IF(AND(K199&gt;=45,K199&lt;60),'Berechnung-WÜ-Material'!$BC$110,IF(AND('Daten-Materialien'!K199&gt;=60,'Daten-Materialien'!K199&lt;75),'Berechnung-WÜ-Material'!$BD$110,IF('Daten-Materialien'!K199&gt;75,'Berechnung-WÜ-Material'!$BE$110,"FEHLER"))))))</f>
        <v>5.9436257603083487</v>
      </c>
      <c r="T199" s="241">
        <f>SUM(Q199:S199)+(L199*3*'Berechnung-WÜ-Material'!$G$22)</f>
        <v>14.355956124645884</v>
      </c>
      <c r="U199" s="241">
        <f t="shared" si="35"/>
        <v>42.059096762201449</v>
      </c>
      <c r="V199" s="241">
        <f>100/'Berechnung-WÜ-Material'!$BF$112*'Daten-Materialien'!T199</f>
        <v>70.075047588173561</v>
      </c>
      <c r="W199" s="241">
        <f t="shared" si="32"/>
        <v>113</v>
      </c>
      <c r="X199" s="241" t="str">
        <f t="shared" ref="X199:X238" si="38">IF(W199=1,1,IF(W199=2,1,IF(W199=3,1,"")))</f>
        <v/>
      </c>
      <c r="Y199" s="241">
        <f t="shared" ref="Y199:Y238" si="39">IF(X199=1,1+Y198,Y198)</f>
        <v>3</v>
      </c>
      <c r="Z199" s="241" t="str">
        <f t="shared" ref="Z199:Z238" si="40">IF(X199=1,Y199,"")</f>
        <v/>
      </c>
      <c r="AB199" s="241" t="s">
        <v>688</v>
      </c>
    </row>
    <row r="200" spans="1:28" ht="39" x14ac:dyDescent="0.25">
      <c r="A200" s="241" t="str">
        <f t="shared" si="36"/>
        <v/>
      </c>
      <c r="B200" s="241" t="s">
        <v>775</v>
      </c>
      <c r="D200" s="339">
        <v>1.1000000000000001</v>
      </c>
      <c r="E200" s="241">
        <f t="shared" si="37"/>
        <v>1.1000000000000001</v>
      </c>
      <c r="G200" s="339">
        <v>65</v>
      </c>
      <c r="H200" s="241">
        <f t="shared" si="33"/>
        <v>65</v>
      </c>
      <c r="J200" s="338">
        <f>AVERAGE(J199,J201)</f>
        <v>32.299999999999997</v>
      </c>
      <c r="K200" s="241">
        <f t="shared" si="34"/>
        <v>32.299999999999997</v>
      </c>
      <c r="L200" s="339">
        <v>0</v>
      </c>
      <c r="M200" s="241">
        <f>(46.32-60.3)/60.3*100</f>
        <v>-23.184079601990046</v>
      </c>
      <c r="N200" s="130" t="s">
        <v>774</v>
      </c>
      <c r="Q200" s="241">
        <f>IF(H200&lt;60,'Berechnung-WÜ-Material'!$AL$110,IF(AND(H200&gt;=60,H200&lt;80),'Berechnung-WÜ-Material'!$AM$110,IF(AND('Daten-Materialien'!H200&gt;=80,'Daten-Materialien'!H200&lt;100),'Berechnung-WÜ-Material'!$AN$110,IF(AND(H200&gt;=100,H200&lt;120),'Berechnung-WÜ-Material'!$AO$110,IF(AND('Daten-Materialien'!H200&gt;=120,'Daten-Materialien'!H200&lt;140),'Berechnung-WÜ-Material'!$AP$110,IF('Daten-Materialien'!H200&gt;140,'Berechnung-WÜ-Material'!$AQ$110,"FEHLER"))))))</f>
        <v>1.4830749679207913</v>
      </c>
      <c r="R200" s="241">
        <f>IF(E200&lt;0.1,'Berechnung-WÜ-Material'!$AS$110,IF(AND(E200&gt;=0.1,E200&lt;0.3),'Berechnung-WÜ-Material'!$AT$110,IF(AND('Daten-Materialien'!E200&gt;=0.3,'Daten-Materialien'!E200&lt;0.6),'Berechnung-WÜ-Material'!$AU$110,IF(AND(E200&gt;=0.6,E200&lt;1),'Berechnung-WÜ-Material'!$AV$110,IF(AND('Daten-Materialien'!E200&gt;=1,'Daten-Materialien'!E200&lt;1.5),'Berechnung-WÜ-Material'!$AW$110,IF('Daten-Materialien'!E200&gt;1.5,'Berechnung-WÜ-Material'!$AX$110,"FEHLER"))))))</f>
        <v>3.6900162641574328</v>
      </c>
      <c r="S200" s="241">
        <f>IF(K200&lt;15,'Berechnung-WÜ-Material'!$AZ$110,IF(AND(K200&gt;=15,K200&lt;30),'Berechnung-WÜ-Material'!$BA$110,IF(AND('Daten-Materialien'!K200&gt;=30,'Daten-Materialien'!K200&lt;45),'Berechnung-WÜ-Material'!$BB$110,IF(AND(K200&gt;=45,K200&lt;60),'Berechnung-WÜ-Material'!$BC$110,IF(AND('Daten-Materialien'!K200&gt;=60,'Daten-Materialien'!K200&lt;75),'Berechnung-WÜ-Material'!$BD$110,IF('Daten-Materialien'!K200&gt;75,'Berechnung-WÜ-Material'!$BE$110,"FEHLER"))))))</f>
        <v>5.9436257603083487</v>
      </c>
      <c r="T200" s="241">
        <f>SUM(Q200:S200)+(L200*3*'Berechnung-WÜ-Material'!$G$22)</f>
        <v>11.116716992386573</v>
      </c>
      <c r="U200" s="241">
        <f t="shared" si="35"/>
        <v>30.061914789910894</v>
      </c>
      <c r="V200" s="241">
        <f>100/'Berechnung-WÜ-Material'!$BF$112*'Daten-Materialien'!T200</f>
        <v>54.263503280591308</v>
      </c>
      <c r="W200" s="241">
        <f t="shared" si="32"/>
        <v>203</v>
      </c>
      <c r="X200" s="241" t="str">
        <f t="shared" si="38"/>
        <v/>
      </c>
      <c r="Y200" s="241">
        <f t="shared" si="39"/>
        <v>3</v>
      </c>
      <c r="Z200" s="241" t="str">
        <f t="shared" si="40"/>
        <v/>
      </c>
      <c r="AB200" s="241" t="s">
        <v>689</v>
      </c>
    </row>
    <row r="201" spans="1:28" ht="39" x14ac:dyDescent="0.25">
      <c r="A201" s="241" t="str">
        <f t="shared" si="36"/>
        <v/>
      </c>
      <c r="B201" s="241" t="s">
        <v>776</v>
      </c>
      <c r="D201" s="339">
        <v>0.54</v>
      </c>
      <c r="E201" s="241">
        <f t="shared" si="37"/>
        <v>0.54</v>
      </c>
      <c r="G201" s="339">
        <v>56</v>
      </c>
      <c r="H201" s="241">
        <f t="shared" si="33"/>
        <v>56</v>
      </c>
      <c r="J201" s="338">
        <v>22.6</v>
      </c>
      <c r="K201" s="241">
        <f t="shared" si="34"/>
        <v>22.6</v>
      </c>
      <c r="L201" s="339">
        <v>0</v>
      </c>
      <c r="M201" s="241">
        <f>(27.5-60.3)/60.3*100</f>
        <v>-54.394693200663347</v>
      </c>
      <c r="N201" s="130" t="s">
        <v>774</v>
      </c>
      <c r="Q201" s="241">
        <f>IF(H201&lt;60,'Berechnung-WÜ-Material'!$AL$110,IF(AND(H201&gt;=60,H201&lt;80),'Berechnung-WÜ-Material'!$AM$110,IF(AND('Daten-Materialien'!H201&gt;=80,'Daten-Materialien'!H201&lt;100),'Berechnung-WÜ-Material'!$AN$110,IF(AND(H201&gt;=100,H201&lt;120),'Berechnung-WÜ-Material'!$AO$110,IF(AND('Daten-Materialien'!H201&gt;=120,'Daten-Materialien'!H201&lt;140),'Berechnung-WÜ-Material'!$AP$110,IF('Daten-Materialien'!H201&gt;140,'Berechnung-WÜ-Material'!$AQ$110,"FEHLER"))))))</f>
        <v>2.2063369805171464</v>
      </c>
      <c r="R201" s="241">
        <f>IF(E201&lt;0.1,'Berechnung-WÜ-Material'!$AS$110,IF(AND(E201&gt;=0.1,E201&lt;0.3),'Berechnung-WÜ-Material'!$AT$110,IF(AND('Daten-Materialien'!E201&gt;=0.3,'Daten-Materialien'!E201&lt;0.6),'Berechnung-WÜ-Material'!$AU$110,IF(AND(E201&gt;=0.6,E201&lt;1),'Berechnung-WÜ-Material'!$AV$110,IF(AND('Daten-Materialien'!E201&gt;=1,'Daten-Materialien'!E201&lt;1.5),'Berechnung-WÜ-Material'!$AW$110,IF('Daten-Materialien'!E201&gt;1.5,'Berechnung-WÜ-Material'!$AX$110,"FEHLER"))))))</f>
        <v>7.4603395508911365</v>
      </c>
      <c r="S201" s="241">
        <f>IF(K201&lt;15,'Berechnung-WÜ-Material'!$AZ$110,IF(AND(K201&gt;=15,K201&lt;30),'Berechnung-WÜ-Material'!$BA$110,IF(AND('Daten-Materialien'!K201&gt;=30,'Daten-Materialien'!K201&lt;45),'Berechnung-WÜ-Material'!$BB$110,IF(AND(K201&gt;=45,K201&lt;60),'Berechnung-WÜ-Material'!$BC$110,IF(AND('Daten-Materialien'!K201&gt;=60,'Daten-Materialien'!K201&lt;75),'Berechnung-WÜ-Material'!$BD$110,IF('Daten-Materialien'!K201&gt;75,'Berechnung-WÜ-Material'!$BE$110,"FEHLER"))))))</f>
        <v>5.3164008462907759</v>
      </c>
      <c r="T201" s="241">
        <f>SUM(Q201:S201)+(L201*3*'Berechnung-WÜ-Material'!$G$22)</f>
        <v>14.983077377699059</v>
      </c>
      <c r="U201" s="241">
        <f t="shared" si="35"/>
        <v>44.381768069991615</v>
      </c>
      <c r="V201" s="241">
        <f>100/'Berechnung-WÜ-Material'!$BF$112*'Daten-Materialien'!T201</f>
        <v>73.136184810222602</v>
      </c>
      <c r="W201" s="241">
        <f t="shared" si="32"/>
        <v>99</v>
      </c>
      <c r="X201" s="241" t="str">
        <f t="shared" si="38"/>
        <v/>
      </c>
      <c r="Y201" s="241">
        <f t="shared" si="39"/>
        <v>3</v>
      </c>
      <c r="Z201" s="241" t="str">
        <f t="shared" si="40"/>
        <v/>
      </c>
      <c r="AB201" s="241" t="s">
        <v>620</v>
      </c>
    </row>
    <row r="202" spans="1:28" ht="39" x14ac:dyDescent="0.25">
      <c r="A202" s="241" t="str">
        <f t="shared" si="36"/>
        <v/>
      </c>
      <c r="B202" s="241" t="s">
        <v>777</v>
      </c>
      <c r="D202" s="338">
        <v>0.2</v>
      </c>
      <c r="E202" s="241">
        <f t="shared" si="37"/>
        <v>0.2</v>
      </c>
      <c r="G202" s="339">
        <v>75</v>
      </c>
      <c r="H202" s="241">
        <f t="shared" si="33"/>
        <v>75</v>
      </c>
      <c r="J202" s="338">
        <v>24</v>
      </c>
      <c r="K202" s="241">
        <f t="shared" si="34"/>
        <v>24</v>
      </c>
      <c r="L202" s="339">
        <v>0</v>
      </c>
      <c r="M202" s="241">
        <f>-79</f>
        <v>-79</v>
      </c>
      <c r="N202" s="130" t="s">
        <v>778</v>
      </c>
      <c r="Q202" s="241">
        <f>IF(H202&lt;60,'Berechnung-WÜ-Material'!$AL$110,IF(AND(H202&gt;=60,H202&lt;80),'Berechnung-WÜ-Material'!$AM$110,IF(AND('Daten-Materialien'!H202&gt;=80,'Daten-Materialien'!H202&lt;100),'Berechnung-WÜ-Material'!$AN$110,IF(AND(H202&gt;=100,H202&lt;120),'Berechnung-WÜ-Material'!$AO$110,IF(AND('Daten-Materialien'!H202&gt;=120,'Daten-Materialien'!H202&lt;140),'Berechnung-WÜ-Material'!$AP$110,IF('Daten-Materialien'!H202&gt;140,'Berechnung-WÜ-Material'!$AQ$110,"FEHLER"))))))</f>
        <v>1.4830749679207913</v>
      </c>
      <c r="R202" s="241">
        <f>IF(E202&lt;0.1,'Berechnung-WÜ-Material'!$AS$110,IF(AND(E202&gt;=0.1,E202&lt;0.3),'Berechnung-WÜ-Material'!$AT$110,IF(AND('Daten-Materialien'!E202&gt;=0.3,'Daten-Materialien'!E202&lt;0.6),'Berechnung-WÜ-Material'!$AU$110,IF(AND(E202&gt;=0.6,E202&lt;1),'Berechnung-WÜ-Material'!$AV$110,IF(AND('Daten-Materialien'!E202&gt;=1,'Daten-Materialien'!E202&lt;1.5),'Berechnung-WÜ-Material'!$AW$110,IF('Daten-Materialien'!E202&gt;1.5,'Berechnung-WÜ-Material'!$AX$110,"FEHLER"))))))</f>
        <v>8.1415883793382715</v>
      </c>
      <c r="S202" s="241">
        <f>IF(K202&lt;15,'Berechnung-WÜ-Material'!$AZ$110,IF(AND(K202&gt;=15,K202&lt;30),'Berechnung-WÜ-Material'!$BA$110,IF(AND('Daten-Materialien'!K202&gt;=30,'Daten-Materialien'!K202&lt;45),'Berechnung-WÜ-Material'!$BB$110,IF(AND(K202&gt;=45,K202&lt;60),'Berechnung-WÜ-Material'!$BC$110,IF(AND('Daten-Materialien'!K202&gt;=60,'Daten-Materialien'!K202&lt;75),'Berechnung-WÜ-Material'!$BD$110,IF('Daten-Materialien'!K202&gt;75,'Berechnung-WÜ-Material'!$BE$110,"FEHLER"))))))</f>
        <v>5.3164008462907759</v>
      </c>
      <c r="T202" s="241">
        <f>SUM(Q202:S202)+(L202*3*'Berechnung-WÜ-Material'!$G$22)</f>
        <v>14.941064193549838</v>
      </c>
      <c r="U202" s="241">
        <f t="shared" si="35"/>
        <v>44.226163684241307</v>
      </c>
      <c r="V202" s="241">
        <f>100/'Berechnung-WÜ-Material'!$BF$112*'Daten-Materialien'!T202</f>
        <v>72.931107847530228</v>
      </c>
      <c r="W202" s="241">
        <f t="shared" si="32"/>
        <v>104</v>
      </c>
      <c r="X202" s="241" t="str">
        <f t="shared" si="38"/>
        <v/>
      </c>
      <c r="Y202" s="241">
        <f t="shared" si="39"/>
        <v>3</v>
      </c>
      <c r="Z202" s="241" t="str">
        <f t="shared" si="40"/>
        <v/>
      </c>
      <c r="AB202" s="241" t="s">
        <v>795</v>
      </c>
    </row>
    <row r="203" spans="1:28" ht="26.25" x14ac:dyDescent="0.25">
      <c r="A203" s="241" t="str">
        <f t="shared" si="36"/>
        <v/>
      </c>
      <c r="B203" s="241" t="s">
        <v>779</v>
      </c>
      <c r="D203" s="338">
        <v>1.7</v>
      </c>
      <c r="E203" s="241">
        <f t="shared" si="37"/>
        <v>1.7</v>
      </c>
      <c r="G203" s="339">
        <v>80.599999999999994</v>
      </c>
      <c r="H203" s="241">
        <f t="shared" si="33"/>
        <v>80.599999999999994</v>
      </c>
      <c r="J203" s="339">
        <v>42.01</v>
      </c>
      <c r="K203" s="241">
        <f t="shared" si="34"/>
        <v>42.01</v>
      </c>
      <c r="L203" s="339">
        <v>0</v>
      </c>
      <c r="M203" s="241">
        <v>0</v>
      </c>
      <c r="N203" s="130" t="s">
        <v>780</v>
      </c>
      <c r="Q203" s="241">
        <f>IF(H203&lt;60,'Berechnung-WÜ-Material'!$AL$110,IF(AND(H203&gt;=60,H203&lt;80),'Berechnung-WÜ-Material'!$AM$110,IF(AND('Daten-Materialien'!H203&gt;=80,'Daten-Materialien'!H203&lt;100),'Berechnung-WÜ-Material'!$AN$110,IF(AND(H203&gt;=100,H203&lt;120),'Berechnung-WÜ-Material'!$AO$110,IF(AND('Daten-Materialien'!H203&gt;=120,'Daten-Materialien'!H203&lt;140),'Berechnung-WÜ-Material'!$AP$110,IF('Daten-Materialien'!H203&gt;140,'Berechnung-WÜ-Material'!$AQ$110,"FEHLER"))))))</f>
        <v>2.9517194566014666</v>
      </c>
      <c r="R203" s="241">
        <f>IF(E203&lt;0.1,'Berechnung-WÜ-Material'!$AS$110,IF(AND(E203&gt;=0.1,E203&lt;0.3),'Berechnung-WÜ-Material'!$AT$110,IF(AND('Daten-Materialien'!E203&gt;=0.3,'Daten-Materialien'!E203&lt;0.6),'Berechnung-WÜ-Material'!$AU$110,IF(AND(E203&gt;=0.6,E203&lt;1),'Berechnung-WÜ-Material'!$AV$110,IF(AND('Daten-Materialien'!E203&gt;=1,'Daten-Materialien'!E203&lt;1.5),'Berechnung-WÜ-Material'!$AW$110,IF('Daten-Materialien'!E203&gt;1.5,'Berechnung-WÜ-Material'!$AX$110,"FEHLER"))))))</f>
        <v>5.4606109077360685</v>
      </c>
      <c r="S203" s="241">
        <f>IF(K203&lt;15,'Berechnung-WÜ-Material'!$AZ$110,IF(AND(K203&gt;=15,K203&lt;30),'Berechnung-WÜ-Material'!$BA$110,IF(AND('Daten-Materialien'!K203&gt;=30,'Daten-Materialien'!K203&lt;45),'Berechnung-WÜ-Material'!$BB$110,IF(AND(K203&gt;=45,K203&lt;60),'Berechnung-WÜ-Material'!$BC$110,IF(AND('Daten-Materialien'!K203&gt;=60,'Daten-Materialien'!K203&lt;75),'Berechnung-WÜ-Material'!$BD$110,IF('Daten-Materialien'!K203&gt;75,'Berechnung-WÜ-Material'!$BE$110,"FEHLER"))))))</f>
        <v>5.9436257603083487</v>
      </c>
      <c r="T203" s="241">
        <f>SUM(Q203:S203)+(L203*3*'Berechnung-WÜ-Material'!$G$22)</f>
        <v>14.355956124645884</v>
      </c>
      <c r="U203" s="241">
        <f t="shared" si="35"/>
        <v>42.059096762201449</v>
      </c>
      <c r="V203" s="241">
        <f>100/'Berechnung-WÜ-Material'!$BF$112*'Daten-Materialien'!T203</f>
        <v>70.075047588173561</v>
      </c>
      <c r="W203" s="241">
        <f t="shared" si="32"/>
        <v>113</v>
      </c>
      <c r="X203" s="241" t="str">
        <f t="shared" si="38"/>
        <v/>
      </c>
      <c r="Y203" s="241">
        <f t="shared" si="39"/>
        <v>3</v>
      </c>
      <c r="Z203" s="241" t="str">
        <f t="shared" si="40"/>
        <v/>
      </c>
      <c r="AB203" s="241" t="s">
        <v>724</v>
      </c>
    </row>
    <row r="204" spans="1:28" ht="26.25" x14ac:dyDescent="0.25">
      <c r="A204" s="241" t="str">
        <f t="shared" si="36"/>
        <v/>
      </c>
      <c r="B204" s="241" t="s">
        <v>781</v>
      </c>
      <c r="D204" s="338">
        <v>0.34</v>
      </c>
      <c r="E204" s="241">
        <f t="shared" si="37"/>
        <v>0.34</v>
      </c>
      <c r="G204" s="339">
        <v>85.1</v>
      </c>
      <c r="H204" s="241">
        <f t="shared" si="33"/>
        <v>85.1</v>
      </c>
      <c r="J204" s="339">
        <v>39.369999999999997</v>
      </c>
      <c r="K204" s="241">
        <f t="shared" si="34"/>
        <v>39.369999999999997</v>
      </c>
      <c r="L204" s="339">
        <v>0</v>
      </c>
      <c r="M204" s="241">
        <f>(1-17)/17*100</f>
        <v>-94.117647058823522</v>
      </c>
      <c r="N204" s="130" t="s">
        <v>780</v>
      </c>
      <c r="Q204" s="241">
        <f>IF(H204&lt;60,'Berechnung-WÜ-Material'!$AL$110,IF(AND(H204&gt;=60,H204&lt;80),'Berechnung-WÜ-Material'!$AM$110,IF(AND('Daten-Materialien'!H204&gt;=80,'Daten-Materialien'!H204&lt;100),'Berechnung-WÜ-Material'!$AN$110,IF(AND(H204&gt;=100,H204&lt;120),'Berechnung-WÜ-Material'!$AO$110,IF(AND('Daten-Materialien'!H204&gt;=120,'Daten-Materialien'!H204&lt;140),'Berechnung-WÜ-Material'!$AP$110,IF('Daten-Materialien'!H204&gt;140,'Berechnung-WÜ-Material'!$AQ$110,"FEHLER"))))))</f>
        <v>2.9517194566014666</v>
      </c>
      <c r="R204" s="241">
        <f>IF(E204&lt;0.1,'Berechnung-WÜ-Material'!$AS$110,IF(AND(E204&gt;=0.1,E204&lt;0.3),'Berechnung-WÜ-Material'!$AT$110,IF(AND('Daten-Materialien'!E204&gt;=0.3,'Daten-Materialien'!E204&lt;0.6),'Berechnung-WÜ-Material'!$AU$110,IF(AND(E204&gt;=0.6,E204&lt;1),'Berechnung-WÜ-Material'!$AV$110,IF(AND('Daten-Materialien'!E204&gt;=1,'Daten-Materialien'!E204&lt;1.5),'Berechnung-WÜ-Material'!$AW$110,IF('Daten-Materialien'!E204&gt;1.5,'Berechnung-WÜ-Material'!$AX$110,"FEHLER"))))))</f>
        <v>7.4603395508911365</v>
      </c>
      <c r="S204" s="241">
        <f>IF(K204&lt;15,'Berechnung-WÜ-Material'!$AZ$110,IF(AND(K204&gt;=15,K204&lt;30),'Berechnung-WÜ-Material'!$BA$110,IF(AND('Daten-Materialien'!K204&gt;=30,'Daten-Materialien'!K204&lt;45),'Berechnung-WÜ-Material'!$BB$110,IF(AND(K204&gt;=45,K204&lt;60),'Berechnung-WÜ-Material'!$BC$110,IF(AND('Daten-Materialien'!K204&gt;=60,'Daten-Materialien'!K204&lt;75),'Berechnung-WÜ-Material'!$BD$110,IF('Daten-Materialien'!K204&gt;75,'Berechnung-WÜ-Material'!$BE$110,"FEHLER"))))))</f>
        <v>5.9436257603083487</v>
      </c>
      <c r="T204" s="241">
        <f>SUM(Q204:S204)+(L204*3*'Berechnung-WÜ-Material'!$G$22)</f>
        <v>16.355684767800952</v>
      </c>
      <c r="U204" s="241">
        <f t="shared" si="35"/>
        <v>49.465499144849765</v>
      </c>
      <c r="V204" s="241">
        <f>100/'Berechnung-WÜ-Material'!$BF$112*'Daten-Materialien'!T204</f>
        <v>79.836228147366853</v>
      </c>
      <c r="W204" s="241">
        <f t="shared" si="32"/>
        <v>43</v>
      </c>
      <c r="X204" s="241" t="str">
        <f t="shared" si="38"/>
        <v/>
      </c>
      <c r="Y204" s="241">
        <f t="shared" si="39"/>
        <v>3</v>
      </c>
      <c r="Z204" s="241" t="str">
        <f t="shared" si="40"/>
        <v/>
      </c>
      <c r="AB204" s="241" t="s">
        <v>723</v>
      </c>
    </row>
    <row r="205" spans="1:28" ht="26.25" x14ac:dyDescent="0.25">
      <c r="A205" s="241" t="str">
        <f t="shared" si="36"/>
        <v/>
      </c>
      <c r="B205" s="241" t="s">
        <v>782</v>
      </c>
      <c r="D205" s="338">
        <v>0.34</v>
      </c>
      <c r="E205" s="241">
        <f t="shared" si="37"/>
        <v>0.34</v>
      </c>
      <c r="G205" s="339">
        <v>86.5</v>
      </c>
      <c r="H205" s="241">
        <f t="shared" si="33"/>
        <v>86.5</v>
      </c>
      <c r="J205" s="339">
        <v>40.22</v>
      </c>
      <c r="K205" s="241">
        <f t="shared" si="34"/>
        <v>40.22</v>
      </c>
      <c r="L205" s="339">
        <v>0</v>
      </c>
      <c r="M205" s="241">
        <f>(1-17)/17*100</f>
        <v>-94.117647058823522</v>
      </c>
      <c r="N205" s="130" t="s">
        <v>780</v>
      </c>
      <c r="Q205" s="241">
        <f>IF(H205&lt;60,'Berechnung-WÜ-Material'!$AL$110,IF(AND(H205&gt;=60,H205&lt;80),'Berechnung-WÜ-Material'!$AM$110,IF(AND('Daten-Materialien'!H205&gt;=80,'Daten-Materialien'!H205&lt;100),'Berechnung-WÜ-Material'!$AN$110,IF(AND(H205&gt;=100,H205&lt;120),'Berechnung-WÜ-Material'!$AO$110,IF(AND('Daten-Materialien'!H205&gt;=120,'Daten-Materialien'!H205&lt;140),'Berechnung-WÜ-Material'!$AP$110,IF('Daten-Materialien'!H205&gt;140,'Berechnung-WÜ-Material'!$AQ$110,"FEHLER"))))))</f>
        <v>2.9517194566014666</v>
      </c>
      <c r="R205" s="241">
        <f>IF(E205&lt;0.1,'Berechnung-WÜ-Material'!$AS$110,IF(AND(E205&gt;=0.1,E205&lt;0.3),'Berechnung-WÜ-Material'!$AT$110,IF(AND('Daten-Materialien'!E205&gt;=0.3,'Daten-Materialien'!E205&lt;0.6),'Berechnung-WÜ-Material'!$AU$110,IF(AND(E205&gt;=0.6,E205&lt;1),'Berechnung-WÜ-Material'!$AV$110,IF(AND('Daten-Materialien'!E205&gt;=1,'Daten-Materialien'!E205&lt;1.5),'Berechnung-WÜ-Material'!$AW$110,IF('Daten-Materialien'!E205&gt;1.5,'Berechnung-WÜ-Material'!$AX$110,"FEHLER"))))))</f>
        <v>7.4603395508911365</v>
      </c>
      <c r="S205" s="241">
        <f>IF(K205&lt;15,'Berechnung-WÜ-Material'!$AZ$110,IF(AND(K205&gt;=15,K205&lt;30),'Berechnung-WÜ-Material'!$BA$110,IF(AND('Daten-Materialien'!K205&gt;=30,'Daten-Materialien'!K205&lt;45),'Berechnung-WÜ-Material'!$BB$110,IF(AND(K205&gt;=45,K205&lt;60),'Berechnung-WÜ-Material'!$BC$110,IF(AND('Daten-Materialien'!K205&gt;=60,'Daten-Materialien'!K205&lt;75),'Berechnung-WÜ-Material'!$BD$110,IF('Daten-Materialien'!K205&gt;75,'Berechnung-WÜ-Material'!$BE$110,"FEHLER"))))))</f>
        <v>5.9436257603083487</v>
      </c>
      <c r="T205" s="241">
        <f>SUM(Q205:S205)+(L205*3*'Berechnung-WÜ-Material'!$G$22)</f>
        <v>16.355684767800952</v>
      </c>
      <c r="U205" s="241">
        <f t="shared" si="35"/>
        <v>49.465499144849765</v>
      </c>
      <c r="V205" s="241">
        <f>100/'Berechnung-WÜ-Material'!$BF$112*'Daten-Materialien'!T205</f>
        <v>79.836228147366853</v>
      </c>
      <c r="W205" s="241">
        <f t="shared" si="32"/>
        <v>43</v>
      </c>
      <c r="X205" s="241" t="str">
        <f t="shared" si="38"/>
        <v/>
      </c>
      <c r="Y205" s="241">
        <f t="shared" si="39"/>
        <v>3</v>
      </c>
      <c r="Z205" s="241" t="str">
        <f t="shared" si="40"/>
        <v/>
      </c>
      <c r="AB205" s="241" t="s">
        <v>679</v>
      </c>
    </row>
    <row r="206" spans="1:28" ht="26.25" x14ac:dyDescent="0.25">
      <c r="A206" s="241" t="str">
        <f t="shared" si="36"/>
        <v/>
      </c>
      <c r="B206" s="241" t="s">
        <v>783</v>
      </c>
      <c r="D206" s="338">
        <v>0.34</v>
      </c>
      <c r="E206" s="241">
        <f t="shared" si="37"/>
        <v>0.34</v>
      </c>
      <c r="G206" s="339">
        <v>87</v>
      </c>
      <c r="H206" s="241">
        <f t="shared" si="33"/>
        <v>87</v>
      </c>
      <c r="J206" s="339">
        <v>41.27</v>
      </c>
      <c r="K206" s="241">
        <f t="shared" si="34"/>
        <v>41.27</v>
      </c>
      <c r="L206" s="339">
        <v>0</v>
      </c>
      <c r="M206" s="241">
        <f>(0.8-17)/17*100</f>
        <v>-95.294117647058812</v>
      </c>
      <c r="N206" s="130" t="s">
        <v>780</v>
      </c>
      <c r="Q206" s="241">
        <f>IF(H206&lt;60,'Berechnung-WÜ-Material'!$AL$110,IF(AND(H206&gt;=60,H206&lt;80),'Berechnung-WÜ-Material'!$AM$110,IF(AND('Daten-Materialien'!H206&gt;=80,'Daten-Materialien'!H206&lt;100),'Berechnung-WÜ-Material'!$AN$110,IF(AND(H206&gt;=100,H206&lt;120),'Berechnung-WÜ-Material'!$AO$110,IF(AND('Daten-Materialien'!H206&gt;=120,'Daten-Materialien'!H206&lt;140),'Berechnung-WÜ-Material'!$AP$110,IF('Daten-Materialien'!H206&gt;140,'Berechnung-WÜ-Material'!$AQ$110,"FEHLER"))))))</f>
        <v>2.9517194566014666</v>
      </c>
      <c r="R206" s="241">
        <f>IF(E206&lt;0.1,'Berechnung-WÜ-Material'!$AS$110,IF(AND(E206&gt;=0.1,E206&lt;0.3),'Berechnung-WÜ-Material'!$AT$110,IF(AND('Daten-Materialien'!E206&gt;=0.3,'Daten-Materialien'!E206&lt;0.6),'Berechnung-WÜ-Material'!$AU$110,IF(AND(E206&gt;=0.6,E206&lt;1),'Berechnung-WÜ-Material'!$AV$110,IF(AND('Daten-Materialien'!E206&gt;=1,'Daten-Materialien'!E206&lt;1.5),'Berechnung-WÜ-Material'!$AW$110,IF('Daten-Materialien'!E206&gt;1.5,'Berechnung-WÜ-Material'!$AX$110,"FEHLER"))))))</f>
        <v>7.4603395508911365</v>
      </c>
      <c r="S206" s="241">
        <f>IF(K206&lt;15,'Berechnung-WÜ-Material'!$AZ$110,IF(AND(K206&gt;=15,K206&lt;30),'Berechnung-WÜ-Material'!$BA$110,IF(AND('Daten-Materialien'!K206&gt;=30,'Daten-Materialien'!K206&lt;45),'Berechnung-WÜ-Material'!$BB$110,IF(AND(K206&gt;=45,K206&lt;60),'Berechnung-WÜ-Material'!$BC$110,IF(AND('Daten-Materialien'!K206&gt;=60,'Daten-Materialien'!K206&lt;75),'Berechnung-WÜ-Material'!$BD$110,IF('Daten-Materialien'!K206&gt;75,'Berechnung-WÜ-Material'!$BE$110,"FEHLER"))))))</f>
        <v>5.9436257603083487</v>
      </c>
      <c r="T206" s="241">
        <f>SUM(Q206:S206)+(L206*3*'Berechnung-WÜ-Material'!$G$22)</f>
        <v>16.355684767800952</v>
      </c>
      <c r="U206" s="241">
        <f t="shared" si="35"/>
        <v>49.465499144849765</v>
      </c>
      <c r="V206" s="241">
        <f>100/'Berechnung-WÜ-Material'!$BF$112*'Daten-Materialien'!T206</f>
        <v>79.836228147366853</v>
      </c>
      <c r="W206" s="241">
        <f t="shared" si="32"/>
        <v>43</v>
      </c>
      <c r="X206" s="241" t="str">
        <f t="shared" si="38"/>
        <v/>
      </c>
      <c r="Y206" s="241">
        <f t="shared" si="39"/>
        <v>3</v>
      </c>
      <c r="Z206" s="241" t="str">
        <f t="shared" si="40"/>
        <v/>
      </c>
      <c r="AB206" s="241" t="s">
        <v>669</v>
      </c>
    </row>
    <row r="207" spans="1:28" ht="26.25" customHeight="1" x14ac:dyDescent="0.25">
      <c r="A207" s="241" t="str">
        <f t="shared" si="36"/>
        <v/>
      </c>
      <c r="B207" s="241" t="s">
        <v>784</v>
      </c>
      <c r="D207" s="338">
        <v>0.34</v>
      </c>
      <c r="E207" s="241">
        <f t="shared" si="37"/>
        <v>0.34</v>
      </c>
      <c r="G207" s="241">
        <v>88.2</v>
      </c>
      <c r="H207" s="241">
        <f t="shared" si="33"/>
        <v>88.2</v>
      </c>
      <c r="J207" s="339">
        <v>40.46</v>
      </c>
      <c r="K207" s="241">
        <f t="shared" si="34"/>
        <v>40.46</v>
      </c>
      <c r="L207" s="339">
        <v>0</v>
      </c>
      <c r="M207" s="241">
        <f>(1.2-17)/17*100</f>
        <v>-92.941176470588232</v>
      </c>
      <c r="N207" s="130" t="s">
        <v>780</v>
      </c>
      <c r="Q207" s="241">
        <f>IF(H207&lt;60,'Berechnung-WÜ-Material'!$AL$110,IF(AND(H207&gt;=60,H207&lt;80),'Berechnung-WÜ-Material'!$AM$110,IF(AND('Daten-Materialien'!H207&gt;=80,'Daten-Materialien'!H207&lt;100),'Berechnung-WÜ-Material'!$AN$110,IF(AND(H207&gt;=100,H207&lt;120),'Berechnung-WÜ-Material'!$AO$110,IF(AND('Daten-Materialien'!H207&gt;=120,'Daten-Materialien'!H207&lt;140),'Berechnung-WÜ-Material'!$AP$110,IF('Daten-Materialien'!H207&gt;140,'Berechnung-WÜ-Material'!$AQ$110,"FEHLER"))))))</f>
        <v>2.9517194566014666</v>
      </c>
      <c r="R207" s="241">
        <f>IF(E207&lt;0.1,'Berechnung-WÜ-Material'!$AS$110,IF(AND(E207&gt;=0.1,E207&lt;0.3),'Berechnung-WÜ-Material'!$AT$110,IF(AND('Daten-Materialien'!E207&gt;=0.3,'Daten-Materialien'!E207&lt;0.6),'Berechnung-WÜ-Material'!$AU$110,IF(AND(E207&gt;=0.6,E207&lt;1),'Berechnung-WÜ-Material'!$AV$110,IF(AND('Daten-Materialien'!E207&gt;=1,'Daten-Materialien'!E207&lt;1.5),'Berechnung-WÜ-Material'!$AW$110,IF('Daten-Materialien'!E207&gt;1.5,'Berechnung-WÜ-Material'!$AX$110,"FEHLER"))))))</f>
        <v>7.4603395508911365</v>
      </c>
      <c r="S207" s="241">
        <f>IF(K207&lt;15,'Berechnung-WÜ-Material'!$AZ$110,IF(AND(K207&gt;=15,K207&lt;30),'Berechnung-WÜ-Material'!$BA$110,IF(AND('Daten-Materialien'!K207&gt;=30,'Daten-Materialien'!K207&lt;45),'Berechnung-WÜ-Material'!$BB$110,IF(AND(K207&gt;=45,K207&lt;60),'Berechnung-WÜ-Material'!$BC$110,IF(AND('Daten-Materialien'!K207&gt;=60,'Daten-Materialien'!K207&lt;75),'Berechnung-WÜ-Material'!$BD$110,IF('Daten-Materialien'!K207&gt;75,'Berechnung-WÜ-Material'!$BE$110,"FEHLER"))))))</f>
        <v>5.9436257603083487</v>
      </c>
      <c r="T207" s="241">
        <f>SUM(Q207:S207)+(L207*3*'Berechnung-WÜ-Material'!$G$22)</f>
        <v>16.355684767800952</v>
      </c>
      <c r="U207" s="241">
        <f t="shared" si="35"/>
        <v>49.465499144849765</v>
      </c>
      <c r="V207" s="241">
        <f>100/'Berechnung-WÜ-Material'!$BF$112*'Daten-Materialien'!T207</f>
        <v>79.836228147366853</v>
      </c>
      <c r="W207" s="241">
        <f t="shared" si="32"/>
        <v>43</v>
      </c>
      <c r="X207" s="241" t="str">
        <f t="shared" si="38"/>
        <v/>
      </c>
      <c r="Y207" s="241">
        <f t="shared" si="39"/>
        <v>3</v>
      </c>
      <c r="Z207" s="241" t="str">
        <f t="shared" si="40"/>
        <v/>
      </c>
      <c r="AB207" s="241" t="s">
        <v>660</v>
      </c>
    </row>
    <row r="208" spans="1:28" ht="26.25" x14ac:dyDescent="0.25">
      <c r="A208" s="241" t="str">
        <f t="shared" si="36"/>
        <v/>
      </c>
      <c r="B208" s="241" t="s">
        <v>785</v>
      </c>
      <c r="D208" s="338">
        <v>0.34</v>
      </c>
      <c r="E208" s="241">
        <f t="shared" si="37"/>
        <v>0.34</v>
      </c>
      <c r="G208" s="241">
        <v>89.2</v>
      </c>
      <c r="H208" s="241">
        <f t="shared" si="33"/>
        <v>89.2</v>
      </c>
      <c r="J208" s="339">
        <v>41.25</v>
      </c>
      <c r="K208" s="241">
        <f t="shared" si="34"/>
        <v>41.25</v>
      </c>
      <c r="L208" s="339">
        <v>0</v>
      </c>
      <c r="M208" s="241">
        <f>(1.3-17)/17*100</f>
        <v>-92.35294117647058</v>
      </c>
      <c r="N208" s="130" t="s">
        <v>780</v>
      </c>
      <c r="Q208" s="241">
        <f>IF(H208&lt;60,'Berechnung-WÜ-Material'!$AL$110,IF(AND(H208&gt;=60,H208&lt;80),'Berechnung-WÜ-Material'!$AM$110,IF(AND('Daten-Materialien'!H208&gt;=80,'Daten-Materialien'!H208&lt;100),'Berechnung-WÜ-Material'!$AN$110,IF(AND(H208&gt;=100,H208&lt;120),'Berechnung-WÜ-Material'!$AO$110,IF(AND('Daten-Materialien'!H208&gt;=120,'Daten-Materialien'!H208&lt;140),'Berechnung-WÜ-Material'!$AP$110,IF('Daten-Materialien'!H208&gt;140,'Berechnung-WÜ-Material'!$AQ$110,"FEHLER"))))))</f>
        <v>2.9517194566014666</v>
      </c>
      <c r="R208" s="241">
        <f>IF(E208&lt;0.1,'Berechnung-WÜ-Material'!$AS$110,IF(AND(E208&gt;=0.1,E208&lt;0.3),'Berechnung-WÜ-Material'!$AT$110,IF(AND('Daten-Materialien'!E208&gt;=0.3,'Daten-Materialien'!E208&lt;0.6),'Berechnung-WÜ-Material'!$AU$110,IF(AND(E208&gt;=0.6,E208&lt;1),'Berechnung-WÜ-Material'!$AV$110,IF(AND('Daten-Materialien'!E208&gt;=1,'Daten-Materialien'!E208&lt;1.5),'Berechnung-WÜ-Material'!$AW$110,IF('Daten-Materialien'!E208&gt;1.5,'Berechnung-WÜ-Material'!$AX$110,"FEHLER"))))))</f>
        <v>7.4603395508911365</v>
      </c>
      <c r="S208" s="241">
        <f>IF(K208&lt;15,'Berechnung-WÜ-Material'!$AZ$110,IF(AND(K208&gt;=15,K208&lt;30),'Berechnung-WÜ-Material'!$BA$110,IF(AND('Daten-Materialien'!K208&gt;=30,'Daten-Materialien'!K208&lt;45),'Berechnung-WÜ-Material'!$BB$110,IF(AND(K208&gt;=45,K208&lt;60),'Berechnung-WÜ-Material'!$BC$110,IF(AND('Daten-Materialien'!K208&gt;=60,'Daten-Materialien'!K208&lt;75),'Berechnung-WÜ-Material'!$BD$110,IF('Daten-Materialien'!K208&gt;75,'Berechnung-WÜ-Material'!$BE$110,"FEHLER"))))))</f>
        <v>5.9436257603083487</v>
      </c>
      <c r="T208" s="241">
        <f>SUM(Q208:S208)+(L208*3*'Berechnung-WÜ-Material'!$G$22)</f>
        <v>16.355684767800952</v>
      </c>
      <c r="U208" s="241">
        <f t="shared" si="35"/>
        <v>49.465499144849765</v>
      </c>
      <c r="V208" s="241">
        <f>100/'Berechnung-WÜ-Material'!$BF$112*'Daten-Materialien'!T208</f>
        <v>79.836228147366853</v>
      </c>
      <c r="W208" s="241">
        <f t="shared" si="32"/>
        <v>43</v>
      </c>
      <c r="X208" s="241" t="str">
        <f t="shared" si="38"/>
        <v/>
      </c>
      <c r="Y208" s="241">
        <f t="shared" si="39"/>
        <v>3</v>
      </c>
      <c r="Z208" s="241" t="str">
        <f t="shared" si="40"/>
        <v/>
      </c>
      <c r="AB208" s="241" t="s">
        <v>683</v>
      </c>
    </row>
    <row r="209" spans="1:28" ht="26.25" x14ac:dyDescent="0.25">
      <c r="A209" s="241" t="str">
        <f t="shared" si="36"/>
        <v/>
      </c>
      <c r="B209" s="241" t="s">
        <v>786</v>
      </c>
      <c r="D209" s="338">
        <v>0.34</v>
      </c>
      <c r="E209" s="241">
        <f t="shared" si="37"/>
        <v>0.34</v>
      </c>
      <c r="G209" s="241">
        <v>89.9</v>
      </c>
      <c r="H209" s="241">
        <f t="shared" si="33"/>
        <v>89.9</v>
      </c>
      <c r="J209" s="339">
        <v>41.41</v>
      </c>
      <c r="K209" s="241">
        <f t="shared" si="34"/>
        <v>41.41</v>
      </c>
      <c r="L209" s="339">
        <v>0</v>
      </c>
      <c r="M209" s="241">
        <f>(1.9-17)/17*100</f>
        <v>-88.823529411764696</v>
      </c>
      <c r="N209" s="130" t="s">
        <v>780</v>
      </c>
      <c r="Q209" s="241">
        <f>IF(H209&lt;60,'Berechnung-WÜ-Material'!$AL$110,IF(AND(H209&gt;=60,H209&lt;80),'Berechnung-WÜ-Material'!$AM$110,IF(AND('Daten-Materialien'!H209&gt;=80,'Daten-Materialien'!H209&lt;100),'Berechnung-WÜ-Material'!$AN$110,IF(AND(H209&gt;=100,H209&lt;120),'Berechnung-WÜ-Material'!$AO$110,IF(AND('Daten-Materialien'!H209&gt;=120,'Daten-Materialien'!H209&lt;140),'Berechnung-WÜ-Material'!$AP$110,IF('Daten-Materialien'!H209&gt;140,'Berechnung-WÜ-Material'!$AQ$110,"FEHLER"))))))</f>
        <v>2.9517194566014666</v>
      </c>
      <c r="R209" s="241">
        <f>IF(E209&lt;0.1,'Berechnung-WÜ-Material'!$AS$110,IF(AND(E209&gt;=0.1,E209&lt;0.3),'Berechnung-WÜ-Material'!$AT$110,IF(AND('Daten-Materialien'!E209&gt;=0.3,'Daten-Materialien'!E209&lt;0.6),'Berechnung-WÜ-Material'!$AU$110,IF(AND(E209&gt;=0.6,E209&lt;1),'Berechnung-WÜ-Material'!$AV$110,IF(AND('Daten-Materialien'!E209&gt;=1,'Daten-Materialien'!E209&lt;1.5),'Berechnung-WÜ-Material'!$AW$110,IF('Daten-Materialien'!E209&gt;1.5,'Berechnung-WÜ-Material'!$AX$110,"FEHLER"))))))</f>
        <v>7.4603395508911365</v>
      </c>
      <c r="S209" s="241">
        <f>IF(K209&lt;15,'Berechnung-WÜ-Material'!$AZ$110,IF(AND(K209&gt;=15,K209&lt;30),'Berechnung-WÜ-Material'!$BA$110,IF(AND('Daten-Materialien'!K209&gt;=30,'Daten-Materialien'!K209&lt;45),'Berechnung-WÜ-Material'!$BB$110,IF(AND(K209&gt;=45,K209&lt;60),'Berechnung-WÜ-Material'!$BC$110,IF(AND('Daten-Materialien'!K209&gt;=60,'Daten-Materialien'!K209&lt;75),'Berechnung-WÜ-Material'!$BD$110,IF('Daten-Materialien'!K209&gt;75,'Berechnung-WÜ-Material'!$BE$110,"FEHLER"))))))</f>
        <v>5.9436257603083487</v>
      </c>
      <c r="T209" s="241">
        <f>SUM(Q209:S209)+(L209*3*'Berechnung-WÜ-Material'!$G$22)</f>
        <v>16.355684767800952</v>
      </c>
      <c r="U209" s="241">
        <f t="shared" si="35"/>
        <v>49.465499144849765</v>
      </c>
      <c r="V209" s="241">
        <f>100/'Berechnung-WÜ-Material'!$BF$112*'Daten-Materialien'!T209</f>
        <v>79.836228147366853</v>
      </c>
      <c r="W209" s="241">
        <f t="shared" si="32"/>
        <v>43</v>
      </c>
      <c r="X209" s="241" t="str">
        <f t="shared" si="38"/>
        <v/>
      </c>
      <c r="Y209" s="241">
        <f t="shared" si="39"/>
        <v>3</v>
      </c>
      <c r="Z209" s="241" t="str">
        <f t="shared" si="40"/>
        <v/>
      </c>
      <c r="AB209" s="241" t="s">
        <v>755</v>
      </c>
    </row>
    <row r="210" spans="1:28" ht="26.25" x14ac:dyDescent="0.25">
      <c r="A210" s="241" t="str">
        <f t="shared" si="36"/>
        <v/>
      </c>
      <c r="B210" s="241" t="s">
        <v>787</v>
      </c>
      <c r="D210" s="338">
        <v>0.34</v>
      </c>
      <c r="E210" s="241">
        <f t="shared" si="37"/>
        <v>0.34</v>
      </c>
      <c r="G210" s="241">
        <v>90.9</v>
      </c>
      <c r="H210" s="241">
        <f t="shared" si="33"/>
        <v>90.9</v>
      </c>
      <c r="J210" s="339">
        <v>41.32</v>
      </c>
      <c r="K210" s="241">
        <f t="shared" si="34"/>
        <v>41.32</v>
      </c>
      <c r="L210" s="339">
        <v>0</v>
      </c>
      <c r="M210" s="241">
        <f>(2-17)/17*100</f>
        <v>-88.235294117647058</v>
      </c>
      <c r="N210" s="130" t="s">
        <v>780</v>
      </c>
      <c r="Q210" s="241">
        <f>IF(H210&lt;60,'Berechnung-WÜ-Material'!$AL$110,IF(AND(H210&gt;=60,H210&lt;80),'Berechnung-WÜ-Material'!$AM$110,IF(AND('Daten-Materialien'!H210&gt;=80,'Daten-Materialien'!H210&lt;100),'Berechnung-WÜ-Material'!$AN$110,IF(AND(H210&gt;=100,H210&lt;120),'Berechnung-WÜ-Material'!$AO$110,IF(AND('Daten-Materialien'!H210&gt;=120,'Daten-Materialien'!H210&lt;140),'Berechnung-WÜ-Material'!$AP$110,IF('Daten-Materialien'!H210&gt;140,'Berechnung-WÜ-Material'!$AQ$110,"FEHLER"))))))</f>
        <v>2.9517194566014666</v>
      </c>
      <c r="R210" s="241">
        <f>IF(E210&lt;0.1,'Berechnung-WÜ-Material'!$AS$110,IF(AND(E210&gt;=0.1,E210&lt;0.3),'Berechnung-WÜ-Material'!$AT$110,IF(AND('Daten-Materialien'!E210&gt;=0.3,'Daten-Materialien'!E210&lt;0.6),'Berechnung-WÜ-Material'!$AU$110,IF(AND(E210&gt;=0.6,E210&lt;1),'Berechnung-WÜ-Material'!$AV$110,IF(AND('Daten-Materialien'!E210&gt;=1,'Daten-Materialien'!E210&lt;1.5),'Berechnung-WÜ-Material'!$AW$110,IF('Daten-Materialien'!E210&gt;1.5,'Berechnung-WÜ-Material'!$AX$110,"FEHLER"))))))</f>
        <v>7.4603395508911365</v>
      </c>
      <c r="S210" s="241">
        <f>IF(K210&lt;15,'Berechnung-WÜ-Material'!$AZ$110,IF(AND(K210&gt;=15,K210&lt;30),'Berechnung-WÜ-Material'!$BA$110,IF(AND('Daten-Materialien'!K210&gt;=30,'Daten-Materialien'!K210&lt;45),'Berechnung-WÜ-Material'!$BB$110,IF(AND(K210&gt;=45,K210&lt;60),'Berechnung-WÜ-Material'!$BC$110,IF(AND('Daten-Materialien'!K210&gt;=60,'Daten-Materialien'!K210&lt;75),'Berechnung-WÜ-Material'!$BD$110,IF('Daten-Materialien'!K210&gt;75,'Berechnung-WÜ-Material'!$BE$110,"FEHLER"))))))</f>
        <v>5.9436257603083487</v>
      </c>
      <c r="T210" s="241">
        <f>SUM(Q210:S210)+(L210*3*'Berechnung-WÜ-Material'!$G$22)</f>
        <v>16.355684767800952</v>
      </c>
      <c r="U210" s="241">
        <f t="shared" si="35"/>
        <v>49.465499144849765</v>
      </c>
      <c r="V210" s="241">
        <f>100/'Berechnung-WÜ-Material'!$BF$112*'Daten-Materialien'!T210</f>
        <v>79.836228147366853</v>
      </c>
      <c r="W210" s="241">
        <f t="shared" si="32"/>
        <v>43</v>
      </c>
      <c r="X210" s="241" t="str">
        <f t="shared" si="38"/>
        <v/>
      </c>
      <c r="Y210" s="241">
        <f t="shared" si="39"/>
        <v>3</v>
      </c>
      <c r="Z210" s="241" t="str">
        <f t="shared" si="40"/>
        <v/>
      </c>
      <c r="AB210" s="241" t="s">
        <v>756</v>
      </c>
    </row>
    <row r="211" spans="1:28" ht="39" x14ac:dyDescent="0.25">
      <c r="A211" s="241">
        <f t="shared" si="36"/>
        <v>4</v>
      </c>
      <c r="B211" s="241" t="s">
        <v>788</v>
      </c>
      <c r="D211" s="338">
        <v>0.2</v>
      </c>
      <c r="E211" s="241">
        <f t="shared" si="37"/>
        <v>0.2</v>
      </c>
      <c r="G211" s="241">
        <v>160</v>
      </c>
      <c r="H211" s="241">
        <f t="shared" si="33"/>
        <v>160</v>
      </c>
      <c r="J211" s="338">
        <v>24</v>
      </c>
      <c r="K211" s="241">
        <f t="shared" si="34"/>
        <v>24</v>
      </c>
      <c r="L211" s="339">
        <v>0</v>
      </c>
      <c r="M211" s="241">
        <f>(200-2000)/2000*100</f>
        <v>-90</v>
      </c>
      <c r="N211" s="130" t="s">
        <v>789</v>
      </c>
      <c r="Q211" s="241">
        <f>IF(H211&lt;60,'Berechnung-WÜ-Material'!$AL$110,IF(AND(H211&gt;=60,H211&lt;80),'Berechnung-WÜ-Material'!$AM$110,IF(AND('Daten-Materialien'!H211&gt;=80,'Daten-Materialien'!H211&lt;100),'Berechnung-WÜ-Material'!$AN$110,IF(AND(H211&gt;=100,H211&lt;120),'Berechnung-WÜ-Material'!$AO$110,IF(AND('Daten-Materialien'!H211&gt;=120,'Daten-Materialien'!H211&lt;140),'Berechnung-WÜ-Material'!$AP$110,IF('Daten-Materialien'!H211&gt;140,'Berechnung-WÜ-Material'!$AQ$110,"FEHLER"))))))</f>
        <v>5.3131194485671944</v>
      </c>
      <c r="R211" s="241">
        <f>IF(E211&lt;0.1,'Berechnung-WÜ-Material'!$AS$110,IF(AND(E211&gt;=0.1,E211&lt;0.3),'Berechnung-WÜ-Material'!$AT$110,IF(AND('Daten-Materialien'!E211&gt;=0.3,'Daten-Materialien'!E211&lt;0.6),'Berechnung-WÜ-Material'!$AU$110,IF(AND(E211&gt;=0.6,E211&lt;1),'Berechnung-WÜ-Material'!$AV$110,IF(AND('Daten-Materialien'!E211&gt;=1,'Daten-Materialien'!E211&lt;1.5),'Berechnung-WÜ-Material'!$AW$110,IF('Daten-Materialien'!E211&gt;1.5,'Berechnung-WÜ-Material'!$AX$110,"FEHLER"))))))</f>
        <v>8.1415883793382715</v>
      </c>
      <c r="S211" s="241">
        <f>IF(K211&lt;15,'Berechnung-WÜ-Material'!$AZ$110,IF(AND(K211&gt;=15,K211&lt;30),'Berechnung-WÜ-Material'!$BA$110,IF(AND('Daten-Materialien'!K211&gt;=30,'Daten-Materialien'!K211&lt;45),'Berechnung-WÜ-Material'!$BB$110,IF(AND(K211&gt;=45,K211&lt;60),'Berechnung-WÜ-Material'!$BC$110,IF(AND('Daten-Materialien'!K211&gt;=60,'Daten-Materialien'!K211&lt;75),'Berechnung-WÜ-Material'!$BD$110,IF('Daten-Materialien'!K211&gt;75,'Berechnung-WÜ-Material'!$BE$110,"FEHLER"))))))</f>
        <v>5.3164008462907759</v>
      </c>
      <c r="T211" s="241">
        <f>SUM(Q211:S211)+(L211*3*'Berechnung-WÜ-Material'!$G$22)</f>
        <v>18.771108674196242</v>
      </c>
      <c r="U211" s="241">
        <f t="shared" si="35"/>
        <v>58.411513613696144</v>
      </c>
      <c r="V211" s="241">
        <f>100/'Berechnung-WÜ-Material'!$BF$112*'Daten-Materialien'!T211</f>
        <v>91.626522274532633</v>
      </c>
      <c r="W211" s="241">
        <f t="shared" si="32"/>
        <v>1</v>
      </c>
      <c r="X211" s="241">
        <f t="shared" si="38"/>
        <v>1</v>
      </c>
      <c r="Y211" s="241">
        <f t="shared" si="39"/>
        <v>4</v>
      </c>
      <c r="Z211" s="241">
        <f t="shared" si="40"/>
        <v>4</v>
      </c>
      <c r="AB211" s="241" t="s">
        <v>757</v>
      </c>
    </row>
    <row r="212" spans="1:28" ht="39" x14ac:dyDescent="0.25">
      <c r="A212" s="241" t="str">
        <f t="shared" si="36"/>
        <v/>
      </c>
      <c r="B212" s="241" t="s">
        <v>790</v>
      </c>
      <c r="D212" s="338">
        <v>0.14499999999999999</v>
      </c>
      <c r="E212" s="241">
        <f t="shared" si="37"/>
        <v>0.14499999999999999</v>
      </c>
      <c r="G212" s="241">
        <v>133</v>
      </c>
      <c r="H212" s="241">
        <f t="shared" si="33"/>
        <v>133</v>
      </c>
      <c r="J212" s="338">
        <v>54</v>
      </c>
      <c r="K212" s="241">
        <f t="shared" si="34"/>
        <v>54</v>
      </c>
      <c r="L212" s="339">
        <v>0</v>
      </c>
      <c r="M212" s="241">
        <f>(380-2000)/2000*100</f>
        <v>-81</v>
      </c>
      <c r="N212" s="130" t="s">
        <v>789</v>
      </c>
      <c r="Q212" s="241">
        <f>IF(H212&lt;60,'Berechnung-WÜ-Material'!$AL$110,IF(AND(H212&gt;=60,H212&lt;80),'Berechnung-WÜ-Material'!$AM$110,IF(AND('Daten-Materialien'!H212&gt;=80,'Daten-Materialien'!H212&lt;100),'Berechnung-WÜ-Material'!$AN$110,IF(AND(H212&gt;=100,H212&lt;120),'Berechnung-WÜ-Material'!$AO$110,IF(AND('Daten-Materialien'!H212&gt;=120,'Daten-Materialien'!H212&lt;140),'Berechnung-WÜ-Material'!$AP$110,IF('Daten-Materialien'!H212&gt;140,'Berechnung-WÜ-Material'!$AQ$110,"FEHLER"))))))</f>
        <v>2.7550019539188941</v>
      </c>
      <c r="R212" s="241">
        <f>IF(E212&lt;0.1,'Berechnung-WÜ-Material'!$AS$110,IF(AND(E212&gt;=0.1,E212&lt;0.3),'Berechnung-WÜ-Material'!$AT$110,IF(AND('Daten-Materialien'!E212&gt;=0.3,'Daten-Materialien'!E212&lt;0.6),'Berechnung-WÜ-Material'!$AU$110,IF(AND(E212&gt;=0.6,E212&lt;1),'Berechnung-WÜ-Material'!$AV$110,IF(AND('Daten-Materialien'!E212&gt;=1,'Daten-Materialien'!E212&lt;1.5),'Berechnung-WÜ-Material'!$AW$110,IF('Daten-Materialien'!E212&gt;1.5,'Berechnung-WÜ-Material'!$AX$110,"FEHLER"))))))</f>
        <v>8.1415883793382715</v>
      </c>
      <c r="S212" s="241">
        <f>IF(K212&lt;15,'Berechnung-WÜ-Material'!$AZ$110,IF(AND(K212&gt;=15,K212&lt;30),'Berechnung-WÜ-Material'!$BA$110,IF(AND('Daten-Materialien'!K212&gt;=30,'Daten-Materialien'!K212&lt;45),'Berechnung-WÜ-Material'!$BB$110,IF(AND(K212&gt;=45,K212&lt;60),'Berechnung-WÜ-Material'!$BC$110,IF(AND('Daten-Materialien'!K212&gt;=60,'Daten-Materialien'!K212&lt;75),'Berechnung-WÜ-Material'!$BD$110,IF('Daten-Materialien'!K212&gt;75,'Berechnung-WÜ-Material'!$BE$110,"FEHLER"))))))</f>
        <v>2.6681383364247617</v>
      </c>
      <c r="T212" s="241">
        <f>SUM(Q212:S212)+(L212*3*'Berechnung-WÜ-Material'!$G$22)</f>
        <v>13.564728669681926</v>
      </c>
      <c r="U212" s="241">
        <f t="shared" si="35"/>
        <v>39.12862470654494</v>
      </c>
      <c r="V212" s="241">
        <f>100/'Berechnung-WÜ-Material'!$BF$112*'Daten-Materialien'!T212</f>
        <v>66.212866547895658</v>
      </c>
      <c r="W212" s="241">
        <f t="shared" si="32"/>
        <v>156</v>
      </c>
      <c r="X212" s="241" t="str">
        <f t="shared" si="38"/>
        <v/>
      </c>
      <c r="Y212" s="241">
        <f t="shared" si="39"/>
        <v>4</v>
      </c>
      <c r="Z212" s="241" t="str">
        <f t="shared" si="40"/>
        <v/>
      </c>
      <c r="AB212" s="235" t="s">
        <v>686</v>
      </c>
    </row>
    <row r="213" spans="1:28" ht="26.25" x14ac:dyDescent="0.25">
      <c r="A213" s="241" t="str">
        <f t="shared" si="36"/>
        <v/>
      </c>
      <c r="B213" s="241" t="s">
        <v>651</v>
      </c>
      <c r="D213" s="339">
        <v>4.7000000000000002E-3</v>
      </c>
      <c r="E213" s="241">
        <f t="shared" si="37"/>
        <v>4.7000000000000002E-3</v>
      </c>
      <c r="G213" s="241">
        <v>77.2</v>
      </c>
      <c r="H213" s="241">
        <f t="shared" si="33"/>
        <v>77.2</v>
      </c>
      <c r="J213" s="339">
        <v>46.06</v>
      </c>
      <c r="K213" s="241">
        <f t="shared" si="34"/>
        <v>46.06</v>
      </c>
      <c r="L213" s="339">
        <v>0.5</v>
      </c>
      <c r="M213" s="241">
        <f>(4.5-6)/6*100</f>
        <v>-25</v>
      </c>
      <c r="N213" s="130" t="s">
        <v>791</v>
      </c>
      <c r="Q213" s="241">
        <f>IF(H213&lt;60,'Berechnung-WÜ-Material'!$AL$110,IF(AND(H213&gt;=60,H213&lt;80),'Berechnung-WÜ-Material'!$AM$110,IF(AND('Daten-Materialien'!H213&gt;=80,'Daten-Materialien'!H213&lt;100),'Berechnung-WÜ-Material'!$AN$110,IF(AND(H213&gt;=100,H213&lt;120),'Berechnung-WÜ-Material'!$AO$110,IF(AND('Daten-Materialien'!H213&gt;=120,'Daten-Materialien'!H213&lt;140),'Berechnung-WÜ-Material'!$AP$110,IF('Daten-Materialien'!H213&gt;140,'Berechnung-WÜ-Material'!$AQ$110,"FEHLER"))))))</f>
        <v>1.4830749679207913</v>
      </c>
      <c r="R213" s="241">
        <f>IF(E213&lt;0.1,'Berechnung-WÜ-Material'!$AS$110,IF(AND(E213&gt;=0.1,E213&lt;0.3),'Berechnung-WÜ-Material'!$AT$110,IF(AND('Daten-Materialien'!E213&gt;=0.3,'Daten-Materialien'!E213&lt;0.6),'Berechnung-WÜ-Material'!$AU$110,IF(AND(E213&gt;=0.6,E213&lt;1),'Berechnung-WÜ-Material'!$AV$110,IF(AND('Daten-Materialien'!E213&gt;=1,'Daten-Materialien'!E213&lt;1.5),'Berechnung-WÜ-Material'!$AW$110,IF('Daten-Materialien'!E213&gt;1.5,'Berechnung-WÜ-Material'!$AX$110,"FEHLER"))))))</f>
        <v>5.4090960472347849</v>
      </c>
      <c r="S213" s="241">
        <f>IF(K213&lt;15,'Berechnung-WÜ-Material'!$AZ$110,IF(AND(K213&gt;=15,K213&lt;30),'Berechnung-WÜ-Material'!$BA$110,IF(AND('Daten-Materialien'!K213&gt;=30,'Daten-Materialien'!K213&lt;45),'Berechnung-WÜ-Material'!$BB$110,IF(AND(K213&gt;=45,K213&lt;60),'Berechnung-WÜ-Material'!$BC$110,IF(AND('Daten-Materialien'!K213&gt;=60,'Daten-Materialien'!K213&lt;75),'Berechnung-WÜ-Material'!$BD$110,IF('Daten-Materialien'!K213&gt;75,'Berechnung-WÜ-Material'!$BE$110,"FEHLER"))))))</f>
        <v>2.6681383364247617</v>
      </c>
      <c r="T213" s="241">
        <f>SUM(Q213:S213)+(L213*3*'Berechnung-WÜ-Material'!$G$22)</f>
        <v>10.388419145412184</v>
      </c>
      <c r="U213" s="241">
        <f t="shared" si="35"/>
        <v>27.364515356456621</v>
      </c>
      <c r="V213" s="241">
        <f>100/'Berechnung-WÜ-Material'!$BF$112*'Daten-Materialien'!T213</f>
        <v>50.708497550427623</v>
      </c>
      <c r="W213" s="241">
        <f t="shared" si="32"/>
        <v>210</v>
      </c>
      <c r="X213" s="241" t="str">
        <f t="shared" si="38"/>
        <v/>
      </c>
      <c r="Y213" s="241">
        <f t="shared" si="39"/>
        <v>4</v>
      </c>
      <c r="Z213" s="241" t="str">
        <f t="shared" si="40"/>
        <v/>
      </c>
      <c r="AB213" s="241" t="s">
        <v>684</v>
      </c>
    </row>
    <row r="214" spans="1:28" ht="26.25" x14ac:dyDescent="0.25">
      <c r="A214" s="241" t="str">
        <f t="shared" si="36"/>
        <v/>
      </c>
      <c r="B214" s="241" t="s">
        <v>792</v>
      </c>
      <c r="D214" s="339">
        <v>7.9000000000000008E-3</v>
      </c>
      <c r="E214" s="241">
        <f t="shared" si="37"/>
        <v>7.9000000000000008E-3</v>
      </c>
      <c r="G214" s="241">
        <v>78.900000000000006</v>
      </c>
      <c r="H214" s="241">
        <f t="shared" si="33"/>
        <v>78.900000000000006</v>
      </c>
      <c r="J214" s="339">
        <v>44.11</v>
      </c>
      <c r="K214" s="241">
        <f t="shared" si="34"/>
        <v>44.11</v>
      </c>
      <c r="L214" s="339">
        <v>0</v>
      </c>
      <c r="M214" s="241">
        <f>(3.8-6)/6*100</f>
        <v>-36.666666666666671</v>
      </c>
      <c r="N214" s="130" t="s">
        <v>791</v>
      </c>
      <c r="Q214" s="241">
        <f>IF(H214&lt;60,'Berechnung-WÜ-Material'!$AL$110,IF(AND(H214&gt;=60,H214&lt;80),'Berechnung-WÜ-Material'!$AM$110,IF(AND('Daten-Materialien'!H214&gt;=80,'Daten-Materialien'!H214&lt;100),'Berechnung-WÜ-Material'!$AN$110,IF(AND(H214&gt;=100,H214&lt;120),'Berechnung-WÜ-Material'!$AO$110,IF(AND('Daten-Materialien'!H214&gt;=120,'Daten-Materialien'!H214&lt;140),'Berechnung-WÜ-Material'!$AP$110,IF('Daten-Materialien'!H214&gt;140,'Berechnung-WÜ-Material'!$AQ$110,"FEHLER"))))))</f>
        <v>1.4830749679207913</v>
      </c>
      <c r="R214" s="241">
        <f>IF(E214&lt;0.1,'Berechnung-WÜ-Material'!$AS$110,IF(AND(E214&gt;=0.1,E214&lt;0.3),'Berechnung-WÜ-Material'!$AT$110,IF(AND('Daten-Materialien'!E214&gt;=0.3,'Daten-Materialien'!E214&lt;0.6),'Berechnung-WÜ-Material'!$AU$110,IF(AND(E214&gt;=0.6,E214&lt;1),'Berechnung-WÜ-Material'!$AV$110,IF(AND('Daten-Materialien'!E214&gt;=1,'Daten-Materialien'!E214&lt;1.5),'Berechnung-WÜ-Material'!$AW$110,IF('Daten-Materialien'!E214&gt;1.5,'Berechnung-WÜ-Material'!$AX$110,"FEHLER"))))))</f>
        <v>5.4090960472347849</v>
      </c>
      <c r="S214" s="241">
        <f>IF(K214&lt;15,'Berechnung-WÜ-Material'!$AZ$110,IF(AND(K214&gt;=15,K214&lt;30),'Berechnung-WÜ-Material'!$BA$110,IF(AND('Daten-Materialien'!K214&gt;=30,'Daten-Materialien'!K214&lt;45),'Berechnung-WÜ-Material'!$BB$110,IF(AND(K214&gt;=45,K214&lt;60),'Berechnung-WÜ-Material'!$BC$110,IF(AND('Daten-Materialien'!K214&gt;=60,'Daten-Materialien'!K214&lt;75),'Berechnung-WÜ-Material'!$BD$110,IF('Daten-Materialien'!K214&gt;75,'Berechnung-WÜ-Material'!$BE$110,"FEHLER"))))))</f>
        <v>5.9436257603083487</v>
      </c>
      <c r="T214" s="241">
        <f>SUM(Q214:S214)+(L214*3*'Berechnung-WÜ-Material'!$G$22)</f>
        <v>12.835796775463924</v>
      </c>
      <c r="U214" s="241">
        <f t="shared" si="35"/>
        <v>36.428876949965996</v>
      </c>
      <c r="V214" s="241">
        <f>100/'Berechnung-WÜ-Material'!$BF$112*'Daten-Materialien'!T214</f>
        <v>62.65476587300077</v>
      </c>
      <c r="W214" s="241">
        <f t="shared" si="32"/>
        <v>169</v>
      </c>
      <c r="X214" s="241" t="str">
        <f t="shared" si="38"/>
        <v/>
      </c>
      <c r="Y214" s="241">
        <f t="shared" si="39"/>
        <v>4</v>
      </c>
      <c r="Z214" s="241" t="str">
        <f t="shared" si="40"/>
        <v/>
      </c>
      <c r="AB214" s="241" t="s">
        <v>684</v>
      </c>
    </row>
    <row r="215" spans="1:28" ht="26.25" x14ac:dyDescent="0.25">
      <c r="A215" s="241" t="str">
        <f t="shared" si="36"/>
        <v/>
      </c>
      <c r="B215" s="241" t="s">
        <v>793</v>
      </c>
      <c r="D215" s="339">
        <v>1.06E-2</v>
      </c>
      <c r="E215" s="241">
        <f t="shared" si="37"/>
        <v>1.06E-2</v>
      </c>
      <c r="G215" s="241">
        <v>75.2</v>
      </c>
      <c r="H215" s="241">
        <f t="shared" si="33"/>
        <v>75.2</v>
      </c>
      <c r="J215" s="339">
        <v>44.39</v>
      </c>
      <c r="K215" s="241">
        <f t="shared" si="34"/>
        <v>44.39</v>
      </c>
      <c r="L215" s="339">
        <v>0</v>
      </c>
      <c r="M215" s="241">
        <f>(3-6)/9*100</f>
        <v>-33.333333333333329</v>
      </c>
      <c r="N215" s="130" t="s">
        <v>791</v>
      </c>
      <c r="Q215" s="241">
        <f>IF(H215&lt;60,'Berechnung-WÜ-Material'!$AL$110,IF(AND(H215&gt;=60,H215&lt;80),'Berechnung-WÜ-Material'!$AM$110,IF(AND('Daten-Materialien'!H215&gt;=80,'Daten-Materialien'!H215&lt;100),'Berechnung-WÜ-Material'!$AN$110,IF(AND(H215&gt;=100,H215&lt;120),'Berechnung-WÜ-Material'!$AO$110,IF(AND('Daten-Materialien'!H215&gt;=120,'Daten-Materialien'!H215&lt;140),'Berechnung-WÜ-Material'!$AP$110,IF('Daten-Materialien'!H215&gt;140,'Berechnung-WÜ-Material'!$AQ$110,"FEHLER"))))))</f>
        <v>1.4830749679207913</v>
      </c>
      <c r="R215" s="241">
        <f>IF(E215&lt;0.1,'Berechnung-WÜ-Material'!$AS$110,IF(AND(E215&gt;=0.1,E215&lt;0.3),'Berechnung-WÜ-Material'!$AT$110,IF(AND('Daten-Materialien'!E215&gt;=0.3,'Daten-Materialien'!E215&lt;0.6),'Berechnung-WÜ-Material'!$AU$110,IF(AND(E215&gt;=0.6,E215&lt;1),'Berechnung-WÜ-Material'!$AV$110,IF(AND('Daten-Materialien'!E215&gt;=1,'Daten-Materialien'!E215&lt;1.5),'Berechnung-WÜ-Material'!$AW$110,IF('Daten-Materialien'!E215&gt;1.5,'Berechnung-WÜ-Material'!$AX$110,"FEHLER"))))))</f>
        <v>5.4090960472347849</v>
      </c>
      <c r="S215" s="241">
        <f>IF(K215&lt;15,'Berechnung-WÜ-Material'!$AZ$110,IF(AND(K215&gt;=15,K215&lt;30),'Berechnung-WÜ-Material'!$BA$110,IF(AND('Daten-Materialien'!K215&gt;=30,'Daten-Materialien'!K215&lt;45),'Berechnung-WÜ-Material'!$BB$110,IF(AND(K215&gt;=45,K215&lt;60),'Berechnung-WÜ-Material'!$BC$110,IF(AND('Daten-Materialien'!K215&gt;=60,'Daten-Materialien'!K215&lt;75),'Berechnung-WÜ-Material'!$BD$110,IF('Daten-Materialien'!K215&gt;75,'Berechnung-WÜ-Material'!$BE$110,"FEHLER"))))))</f>
        <v>5.9436257603083487</v>
      </c>
      <c r="T215" s="241">
        <f>SUM(Q215:S215)+(L215*3*'Berechnung-WÜ-Material'!$G$22)</f>
        <v>12.835796775463924</v>
      </c>
      <c r="U215" s="241">
        <f t="shared" si="35"/>
        <v>36.428876949965996</v>
      </c>
      <c r="V215" s="241">
        <f>100/'Berechnung-WÜ-Material'!$BF$112*'Daten-Materialien'!T215</f>
        <v>62.65476587300077</v>
      </c>
      <c r="W215" s="241">
        <f t="shared" si="32"/>
        <v>169</v>
      </c>
      <c r="X215" s="241" t="str">
        <f t="shared" si="38"/>
        <v/>
      </c>
      <c r="Y215" s="241">
        <f t="shared" si="39"/>
        <v>4</v>
      </c>
      <c r="Z215" s="241" t="str">
        <f t="shared" si="40"/>
        <v/>
      </c>
      <c r="AB215" s="241" t="s">
        <v>681</v>
      </c>
    </row>
    <row r="216" spans="1:28" ht="26.25" x14ac:dyDescent="0.25">
      <c r="A216" s="241" t="str">
        <f t="shared" si="36"/>
        <v/>
      </c>
      <c r="B216" s="241" t="s">
        <v>794</v>
      </c>
      <c r="D216" s="339">
        <v>1.7299999999999999E-2</v>
      </c>
      <c r="E216" s="241">
        <f t="shared" si="37"/>
        <v>1.7299999999999999E-2</v>
      </c>
      <c r="G216" s="241">
        <v>72.8</v>
      </c>
      <c r="H216" s="241">
        <f t="shared" si="33"/>
        <v>72.8</v>
      </c>
      <c r="J216" s="339">
        <v>44.4</v>
      </c>
      <c r="K216" s="241">
        <f t="shared" si="34"/>
        <v>44.4</v>
      </c>
      <c r="L216" s="339">
        <v>0</v>
      </c>
      <c r="M216" s="241">
        <f>(1.8-6)/6*100</f>
        <v>-70</v>
      </c>
      <c r="N216" s="130" t="s">
        <v>791</v>
      </c>
      <c r="Q216" s="241">
        <f>IF(H216&lt;60,'Berechnung-WÜ-Material'!$AL$110,IF(AND(H216&gt;=60,H216&lt;80),'Berechnung-WÜ-Material'!$AM$110,IF(AND('Daten-Materialien'!H216&gt;=80,'Daten-Materialien'!H216&lt;100),'Berechnung-WÜ-Material'!$AN$110,IF(AND(H216&gt;=100,H216&lt;120),'Berechnung-WÜ-Material'!$AO$110,IF(AND('Daten-Materialien'!H216&gt;=120,'Daten-Materialien'!H216&lt;140),'Berechnung-WÜ-Material'!$AP$110,IF('Daten-Materialien'!H216&gt;140,'Berechnung-WÜ-Material'!$AQ$110,"FEHLER"))))))</f>
        <v>1.4830749679207913</v>
      </c>
      <c r="R216" s="241">
        <f>IF(E216&lt;0.1,'Berechnung-WÜ-Material'!$AS$110,IF(AND(E216&gt;=0.1,E216&lt;0.3),'Berechnung-WÜ-Material'!$AT$110,IF(AND('Daten-Materialien'!E216&gt;=0.3,'Daten-Materialien'!E216&lt;0.6),'Berechnung-WÜ-Material'!$AU$110,IF(AND(E216&gt;=0.6,E216&lt;1),'Berechnung-WÜ-Material'!$AV$110,IF(AND('Daten-Materialien'!E216&gt;=1,'Daten-Materialien'!E216&lt;1.5),'Berechnung-WÜ-Material'!$AW$110,IF('Daten-Materialien'!E216&gt;1.5,'Berechnung-WÜ-Material'!$AX$110,"FEHLER"))))))</f>
        <v>5.4090960472347849</v>
      </c>
      <c r="S216" s="241">
        <f>IF(K216&lt;15,'Berechnung-WÜ-Material'!$AZ$110,IF(AND(K216&gt;=15,K216&lt;30),'Berechnung-WÜ-Material'!$BA$110,IF(AND('Daten-Materialien'!K216&gt;=30,'Daten-Materialien'!K216&lt;45),'Berechnung-WÜ-Material'!$BB$110,IF(AND(K216&gt;=45,K216&lt;60),'Berechnung-WÜ-Material'!$BC$110,IF(AND('Daten-Materialien'!K216&gt;=60,'Daten-Materialien'!K216&lt;75),'Berechnung-WÜ-Material'!$BD$110,IF('Daten-Materialien'!K216&gt;75,'Berechnung-WÜ-Material'!$BE$110,"FEHLER"))))))</f>
        <v>5.9436257603083487</v>
      </c>
      <c r="T216" s="241">
        <f>SUM(Q216:S216)+(L216*3*'Berechnung-WÜ-Material'!$G$22)</f>
        <v>12.835796775463924</v>
      </c>
      <c r="U216" s="241">
        <f t="shared" si="35"/>
        <v>36.428876949965996</v>
      </c>
      <c r="V216" s="241">
        <f>100/'Berechnung-WÜ-Material'!$BF$112*'Daten-Materialien'!T216</f>
        <v>62.65476587300077</v>
      </c>
      <c r="W216" s="241">
        <f t="shared" si="32"/>
        <v>169</v>
      </c>
      <c r="X216" s="241" t="str">
        <f t="shared" si="38"/>
        <v/>
      </c>
      <c r="Y216" s="241">
        <f t="shared" si="39"/>
        <v>4</v>
      </c>
      <c r="Z216" s="241" t="str">
        <f t="shared" si="40"/>
        <v/>
      </c>
      <c r="AB216" s="241" t="s">
        <v>790</v>
      </c>
    </row>
    <row r="217" spans="1:28" ht="39" x14ac:dyDescent="0.25">
      <c r="A217" s="241" t="str">
        <f t="shared" si="36"/>
        <v/>
      </c>
      <c r="B217" s="241" t="s">
        <v>795</v>
      </c>
      <c r="D217" s="339">
        <v>0.04</v>
      </c>
      <c r="E217" s="241">
        <f t="shared" si="37"/>
        <v>0.04</v>
      </c>
      <c r="G217" s="241">
        <v>63</v>
      </c>
      <c r="H217" s="241">
        <f t="shared" si="33"/>
        <v>63</v>
      </c>
      <c r="J217" s="339">
        <v>54</v>
      </c>
      <c r="K217" s="241">
        <f t="shared" si="34"/>
        <v>54</v>
      </c>
      <c r="L217" s="339">
        <v>0</v>
      </c>
      <c r="M217" s="241">
        <f>(5-10)/10*100</f>
        <v>-50</v>
      </c>
      <c r="N217" s="130" t="s">
        <v>796</v>
      </c>
      <c r="Q217" s="241">
        <f>IF(H217&lt;60,'Berechnung-WÜ-Material'!$AL$110,IF(AND(H217&gt;=60,H217&lt;80),'Berechnung-WÜ-Material'!$AM$110,IF(AND('Daten-Materialien'!H217&gt;=80,'Daten-Materialien'!H217&lt;100),'Berechnung-WÜ-Material'!$AN$110,IF(AND(H217&gt;=100,H217&lt;120),'Berechnung-WÜ-Material'!$AO$110,IF(AND('Daten-Materialien'!H217&gt;=120,'Daten-Materialien'!H217&lt;140),'Berechnung-WÜ-Material'!$AP$110,IF('Daten-Materialien'!H217&gt;140,'Berechnung-WÜ-Material'!$AQ$110,"FEHLER"))))))</f>
        <v>1.4830749679207913</v>
      </c>
      <c r="R217" s="241">
        <f>IF(E217&lt;0.1,'Berechnung-WÜ-Material'!$AS$110,IF(AND(E217&gt;=0.1,E217&lt;0.3),'Berechnung-WÜ-Material'!$AT$110,IF(AND('Daten-Materialien'!E217&gt;=0.3,'Daten-Materialien'!E217&lt;0.6),'Berechnung-WÜ-Material'!$AU$110,IF(AND(E217&gt;=0.6,E217&lt;1),'Berechnung-WÜ-Material'!$AV$110,IF(AND('Daten-Materialien'!E217&gt;=1,'Daten-Materialien'!E217&lt;1.5),'Berechnung-WÜ-Material'!$AW$110,IF('Daten-Materialien'!E217&gt;1.5,'Berechnung-WÜ-Material'!$AX$110,"FEHLER"))))))</f>
        <v>5.4090960472347849</v>
      </c>
      <c r="S217" s="241">
        <f>IF(K217&lt;15,'Berechnung-WÜ-Material'!$AZ$110,IF(AND(K217&gt;=15,K217&lt;30),'Berechnung-WÜ-Material'!$BA$110,IF(AND('Daten-Materialien'!K217&gt;=30,'Daten-Materialien'!K217&lt;45),'Berechnung-WÜ-Material'!$BB$110,IF(AND(K217&gt;=45,K217&lt;60),'Berechnung-WÜ-Material'!$BC$110,IF(AND('Daten-Materialien'!K217&gt;=60,'Daten-Materialien'!K217&lt;75),'Berechnung-WÜ-Material'!$BD$110,IF('Daten-Materialien'!K217&gt;75,'Berechnung-WÜ-Material'!$BE$110,"FEHLER"))))))</f>
        <v>2.6681383364247617</v>
      </c>
      <c r="T217" s="241">
        <f>SUM(Q217:S217)+(L217*3*'Berechnung-WÜ-Material'!$G$22)</f>
        <v>9.5603093515803366</v>
      </c>
      <c r="U217" s="241">
        <f t="shared" si="35"/>
        <v>24.297442045722931</v>
      </c>
      <c r="V217" s="241">
        <f>100/'Berechnung-WÜ-Material'!$BF$112*'Daten-Materialien'!T217</f>
        <v>46.666284499123051</v>
      </c>
      <c r="W217" s="241">
        <f t="shared" si="32"/>
        <v>230</v>
      </c>
      <c r="X217" s="241" t="str">
        <f t="shared" si="38"/>
        <v/>
      </c>
      <c r="Y217" s="241">
        <f t="shared" si="39"/>
        <v>4</v>
      </c>
      <c r="Z217" s="241" t="str">
        <f t="shared" si="40"/>
        <v/>
      </c>
      <c r="AB217" s="241" t="s">
        <v>703</v>
      </c>
    </row>
    <row r="218" spans="1:28" ht="39" x14ac:dyDescent="0.25">
      <c r="A218" s="241" t="str">
        <f t="shared" si="36"/>
        <v/>
      </c>
      <c r="B218" s="241" t="s">
        <v>797</v>
      </c>
      <c r="D218" s="339">
        <v>1.24</v>
      </c>
      <c r="E218" s="241">
        <f t="shared" si="37"/>
        <v>1.24</v>
      </c>
      <c r="G218" s="241">
        <v>87</v>
      </c>
      <c r="H218" s="241">
        <f t="shared" si="33"/>
        <v>87</v>
      </c>
      <c r="J218" s="339">
        <v>46</v>
      </c>
      <c r="K218" s="241">
        <f t="shared" si="34"/>
        <v>46</v>
      </c>
      <c r="L218" s="339">
        <v>0</v>
      </c>
      <c r="M218" s="241">
        <v>0</v>
      </c>
      <c r="N218" s="130" t="s">
        <v>796</v>
      </c>
      <c r="Q218" s="241">
        <f>IF(H218&lt;60,'Berechnung-WÜ-Material'!$AL$110,IF(AND(H218&gt;=60,H218&lt;80),'Berechnung-WÜ-Material'!$AM$110,IF(AND('Daten-Materialien'!H218&gt;=80,'Daten-Materialien'!H218&lt;100),'Berechnung-WÜ-Material'!$AN$110,IF(AND(H218&gt;=100,H218&lt;120),'Berechnung-WÜ-Material'!$AO$110,IF(AND('Daten-Materialien'!H218&gt;=120,'Daten-Materialien'!H218&lt;140),'Berechnung-WÜ-Material'!$AP$110,IF('Daten-Materialien'!H218&gt;140,'Berechnung-WÜ-Material'!$AQ$110,"FEHLER"))))))</f>
        <v>2.9517194566014666</v>
      </c>
      <c r="R218" s="241">
        <f>IF(E218&lt;0.1,'Berechnung-WÜ-Material'!$AS$110,IF(AND(E218&gt;=0.1,E218&lt;0.3),'Berechnung-WÜ-Material'!$AT$110,IF(AND('Daten-Materialien'!E218&gt;=0.3,'Daten-Materialien'!E218&lt;0.6),'Berechnung-WÜ-Material'!$AU$110,IF(AND(E218&gt;=0.6,E218&lt;1),'Berechnung-WÜ-Material'!$AV$110,IF(AND('Daten-Materialien'!E218&gt;=1,'Daten-Materialien'!E218&lt;1.5),'Berechnung-WÜ-Material'!$AW$110,IF('Daten-Materialien'!E218&gt;1.5,'Berechnung-WÜ-Material'!$AX$110,"FEHLER"))))))</f>
        <v>3.6900162641574328</v>
      </c>
      <c r="S218" s="241">
        <f>IF(K218&lt;15,'Berechnung-WÜ-Material'!$AZ$110,IF(AND(K218&gt;=15,K218&lt;30),'Berechnung-WÜ-Material'!$BA$110,IF(AND('Daten-Materialien'!K218&gt;=30,'Daten-Materialien'!K218&lt;45),'Berechnung-WÜ-Material'!$BB$110,IF(AND(K218&gt;=45,K218&lt;60),'Berechnung-WÜ-Material'!$BC$110,IF(AND('Daten-Materialien'!K218&gt;=60,'Daten-Materialien'!K218&lt;75),'Berechnung-WÜ-Material'!$BD$110,IF('Daten-Materialien'!K218&gt;75,'Berechnung-WÜ-Material'!$BE$110,"FEHLER"))))))</f>
        <v>2.6681383364247617</v>
      </c>
      <c r="T218" s="241">
        <f>SUM(Q218:S218)+(L218*3*'Berechnung-WÜ-Material'!$G$22)</f>
        <v>9.3098740571836611</v>
      </c>
      <c r="U218" s="241">
        <f t="shared" si="35"/>
        <v>23.369903918253634</v>
      </c>
      <c r="V218" s="241">
        <f>100/'Berechnung-WÜ-Material'!$BF$112*'Daten-Materialien'!T218</f>
        <v>45.4438465771739</v>
      </c>
      <c r="W218" s="241">
        <f t="shared" si="32"/>
        <v>233</v>
      </c>
      <c r="X218" s="241" t="str">
        <f t="shared" si="38"/>
        <v/>
      </c>
      <c r="Y218" s="241">
        <f t="shared" si="39"/>
        <v>4</v>
      </c>
      <c r="Z218" s="241" t="str">
        <f t="shared" si="40"/>
        <v/>
      </c>
      <c r="AB218" s="241" t="s">
        <v>906</v>
      </c>
    </row>
    <row r="219" spans="1:28" ht="39" x14ac:dyDescent="0.25">
      <c r="A219" s="241" t="str">
        <f t="shared" si="36"/>
        <v/>
      </c>
      <c r="B219" s="241" t="s">
        <v>798</v>
      </c>
      <c r="D219" s="339">
        <v>1.86</v>
      </c>
      <c r="E219" s="241">
        <f t="shared" si="37"/>
        <v>1.86</v>
      </c>
      <c r="G219" s="241">
        <v>77</v>
      </c>
      <c r="H219" s="241">
        <f t="shared" si="33"/>
        <v>77</v>
      </c>
      <c r="J219" s="339">
        <v>48</v>
      </c>
      <c r="K219" s="241">
        <f t="shared" si="34"/>
        <v>48</v>
      </c>
      <c r="L219" s="339">
        <v>0</v>
      </c>
      <c r="M219" s="241">
        <f>(4.8-10)/10*100</f>
        <v>-52</v>
      </c>
      <c r="N219" s="130" t="s">
        <v>796</v>
      </c>
      <c r="Q219" s="241">
        <f>IF(H219&lt;60,'Berechnung-WÜ-Material'!$AL$110,IF(AND(H219&gt;=60,H219&lt;80),'Berechnung-WÜ-Material'!$AM$110,IF(AND('Daten-Materialien'!H219&gt;=80,'Daten-Materialien'!H219&lt;100),'Berechnung-WÜ-Material'!$AN$110,IF(AND(H219&gt;=100,H219&lt;120),'Berechnung-WÜ-Material'!$AO$110,IF(AND('Daten-Materialien'!H219&gt;=120,'Daten-Materialien'!H219&lt;140),'Berechnung-WÜ-Material'!$AP$110,IF('Daten-Materialien'!H219&gt;140,'Berechnung-WÜ-Material'!$AQ$110,"FEHLER"))))))</f>
        <v>1.4830749679207913</v>
      </c>
      <c r="R219" s="241">
        <f>IF(E219&lt;0.1,'Berechnung-WÜ-Material'!$AS$110,IF(AND(E219&gt;=0.1,E219&lt;0.3),'Berechnung-WÜ-Material'!$AT$110,IF(AND('Daten-Materialien'!E219&gt;=0.3,'Daten-Materialien'!E219&lt;0.6),'Berechnung-WÜ-Material'!$AU$110,IF(AND(E219&gt;=0.6,E219&lt;1),'Berechnung-WÜ-Material'!$AV$110,IF(AND('Daten-Materialien'!E219&gt;=1,'Daten-Materialien'!E219&lt;1.5),'Berechnung-WÜ-Material'!$AW$110,IF('Daten-Materialien'!E219&gt;1.5,'Berechnung-WÜ-Material'!$AX$110,"FEHLER"))))))</f>
        <v>5.4606109077360685</v>
      </c>
      <c r="S219" s="241">
        <f>IF(K219&lt;15,'Berechnung-WÜ-Material'!$AZ$110,IF(AND(K219&gt;=15,K219&lt;30),'Berechnung-WÜ-Material'!$BA$110,IF(AND('Daten-Materialien'!K219&gt;=30,'Daten-Materialien'!K219&lt;45),'Berechnung-WÜ-Material'!$BB$110,IF(AND(K219&gt;=45,K219&lt;60),'Berechnung-WÜ-Material'!$BC$110,IF(AND('Daten-Materialien'!K219&gt;=60,'Daten-Materialien'!K219&lt;75),'Berechnung-WÜ-Material'!$BD$110,IF('Daten-Materialien'!K219&gt;75,'Berechnung-WÜ-Material'!$BE$110,"FEHLER"))))))</f>
        <v>2.6681383364247617</v>
      </c>
      <c r="T219" s="241">
        <f>SUM(Q219:S219)+(L219*3*'Berechnung-WÜ-Material'!$G$22)</f>
        <v>9.611824212081622</v>
      </c>
      <c r="U219" s="241">
        <f t="shared" si="35"/>
        <v>24.488237825372586</v>
      </c>
      <c r="V219" s="241">
        <f>100/'Berechnung-WÜ-Material'!$BF$112*'Daten-Materialien'!T219</f>
        <v>46.917741543835547</v>
      </c>
      <c r="W219" s="241">
        <f t="shared" si="32"/>
        <v>225</v>
      </c>
      <c r="X219" s="241" t="str">
        <f t="shared" si="38"/>
        <v/>
      </c>
      <c r="Y219" s="241">
        <f t="shared" si="39"/>
        <v>4</v>
      </c>
      <c r="Z219" s="241" t="str">
        <f t="shared" si="40"/>
        <v/>
      </c>
      <c r="AB219" s="235" t="s">
        <v>912</v>
      </c>
    </row>
    <row r="220" spans="1:28" ht="39" x14ac:dyDescent="0.25">
      <c r="A220" s="241" t="str">
        <f t="shared" si="36"/>
        <v/>
      </c>
      <c r="B220" s="241" t="s">
        <v>799</v>
      </c>
      <c r="D220" s="339">
        <v>3.66</v>
      </c>
      <c r="E220" s="241">
        <f t="shared" si="37"/>
        <v>3.66</v>
      </c>
      <c r="G220" s="241">
        <v>77</v>
      </c>
      <c r="H220" s="241">
        <f t="shared" si="33"/>
        <v>77</v>
      </c>
      <c r="J220" s="339">
        <v>48</v>
      </c>
      <c r="K220" s="241">
        <f t="shared" si="34"/>
        <v>48</v>
      </c>
      <c r="L220" s="339">
        <v>0</v>
      </c>
      <c r="M220" s="241">
        <f>(4.9-10)/10*100</f>
        <v>-51</v>
      </c>
      <c r="N220" s="130" t="s">
        <v>796</v>
      </c>
      <c r="Q220" s="241">
        <f>IF(H220&lt;60,'Berechnung-WÜ-Material'!$AL$110,IF(AND(H220&gt;=60,H220&lt;80),'Berechnung-WÜ-Material'!$AM$110,IF(AND('Daten-Materialien'!H220&gt;=80,'Daten-Materialien'!H220&lt;100),'Berechnung-WÜ-Material'!$AN$110,IF(AND(H220&gt;=100,H220&lt;120),'Berechnung-WÜ-Material'!$AO$110,IF(AND('Daten-Materialien'!H220&gt;=120,'Daten-Materialien'!H220&lt;140),'Berechnung-WÜ-Material'!$AP$110,IF('Daten-Materialien'!H220&gt;140,'Berechnung-WÜ-Material'!$AQ$110,"FEHLER"))))))</f>
        <v>1.4830749679207913</v>
      </c>
      <c r="R220" s="241">
        <f>IF(E220&lt;0.1,'Berechnung-WÜ-Material'!$AS$110,IF(AND(E220&gt;=0.1,E220&lt;0.3),'Berechnung-WÜ-Material'!$AT$110,IF(AND('Daten-Materialien'!E220&gt;=0.3,'Daten-Materialien'!E220&lt;0.6),'Berechnung-WÜ-Material'!$AU$110,IF(AND(E220&gt;=0.6,E220&lt;1),'Berechnung-WÜ-Material'!$AV$110,IF(AND('Daten-Materialien'!E220&gt;=1,'Daten-Materialien'!E220&lt;1.5),'Berechnung-WÜ-Material'!$AW$110,IF('Daten-Materialien'!E220&gt;1.5,'Berechnung-WÜ-Material'!$AX$110,"FEHLER"))))))</f>
        <v>5.4606109077360685</v>
      </c>
      <c r="S220" s="241">
        <f>IF(K220&lt;15,'Berechnung-WÜ-Material'!$AZ$110,IF(AND(K220&gt;=15,K220&lt;30),'Berechnung-WÜ-Material'!$BA$110,IF(AND('Daten-Materialien'!K220&gt;=30,'Daten-Materialien'!K220&lt;45),'Berechnung-WÜ-Material'!$BB$110,IF(AND(K220&gt;=45,K220&lt;60),'Berechnung-WÜ-Material'!$BC$110,IF(AND('Daten-Materialien'!K220&gt;=60,'Daten-Materialien'!K220&lt;75),'Berechnung-WÜ-Material'!$BD$110,IF('Daten-Materialien'!K220&gt;75,'Berechnung-WÜ-Material'!$BE$110,"FEHLER"))))))</f>
        <v>2.6681383364247617</v>
      </c>
      <c r="T220" s="241">
        <f>SUM(Q220:S220)+(L220*3*'Berechnung-WÜ-Material'!$G$22)</f>
        <v>9.611824212081622</v>
      </c>
      <c r="U220" s="241">
        <f t="shared" si="35"/>
        <v>24.488237825372586</v>
      </c>
      <c r="V220" s="241">
        <f>100/'Berechnung-WÜ-Material'!$BF$112*'Daten-Materialien'!T220</f>
        <v>46.917741543835547</v>
      </c>
      <c r="W220" s="241">
        <f t="shared" si="32"/>
        <v>225</v>
      </c>
      <c r="X220" s="241" t="str">
        <f t="shared" si="38"/>
        <v/>
      </c>
      <c r="Y220" s="241">
        <f t="shared" si="39"/>
        <v>4</v>
      </c>
      <c r="Z220" s="241" t="str">
        <f t="shared" si="40"/>
        <v/>
      </c>
      <c r="AB220" s="241" t="s">
        <v>905</v>
      </c>
    </row>
    <row r="221" spans="1:28" ht="39" x14ac:dyDescent="0.25">
      <c r="A221" s="241" t="str">
        <f t="shared" si="36"/>
        <v/>
      </c>
      <c r="B221" s="241" t="s">
        <v>800</v>
      </c>
      <c r="D221" s="339">
        <v>2.13</v>
      </c>
      <c r="E221" s="241">
        <f t="shared" si="37"/>
        <v>2.13</v>
      </c>
      <c r="G221" s="241">
        <v>70</v>
      </c>
      <c r="H221" s="241">
        <f t="shared" si="33"/>
        <v>70</v>
      </c>
      <c r="J221" s="339">
        <v>50</v>
      </c>
      <c r="K221" s="241">
        <f t="shared" si="34"/>
        <v>50</v>
      </c>
      <c r="L221" s="339">
        <v>0</v>
      </c>
      <c r="M221" s="241">
        <f>(6-10)/10*100</f>
        <v>-40</v>
      </c>
      <c r="N221" s="130" t="s">
        <v>796</v>
      </c>
      <c r="Q221" s="241">
        <f>IF(H221&lt;60,'Berechnung-WÜ-Material'!$AL$110,IF(AND(H221&gt;=60,H221&lt;80),'Berechnung-WÜ-Material'!$AM$110,IF(AND('Daten-Materialien'!H221&gt;=80,'Daten-Materialien'!H221&lt;100),'Berechnung-WÜ-Material'!$AN$110,IF(AND(H221&gt;=100,H221&lt;120),'Berechnung-WÜ-Material'!$AO$110,IF(AND('Daten-Materialien'!H221&gt;=120,'Daten-Materialien'!H221&lt;140),'Berechnung-WÜ-Material'!$AP$110,IF('Daten-Materialien'!H221&gt;140,'Berechnung-WÜ-Material'!$AQ$110,"FEHLER"))))))</f>
        <v>1.4830749679207913</v>
      </c>
      <c r="R221" s="241">
        <f>IF(E221&lt;0.1,'Berechnung-WÜ-Material'!$AS$110,IF(AND(E221&gt;=0.1,E221&lt;0.3),'Berechnung-WÜ-Material'!$AT$110,IF(AND('Daten-Materialien'!E221&gt;=0.3,'Daten-Materialien'!E221&lt;0.6),'Berechnung-WÜ-Material'!$AU$110,IF(AND(E221&gt;=0.6,E221&lt;1),'Berechnung-WÜ-Material'!$AV$110,IF(AND('Daten-Materialien'!E221&gt;=1,'Daten-Materialien'!E221&lt;1.5),'Berechnung-WÜ-Material'!$AW$110,IF('Daten-Materialien'!E221&gt;1.5,'Berechnung-WÜ-Material'!$AX$110,"FEHLER"))))))</f>
        <v>5.4606109077360685</v>
      </c>
      <c r="S221" s="241">
        <f>IF(K221&lt;15,'Berechnung-WÜ-Material'!$AZ$110,IF(AND(K221&gt;=15,K221&lt;30),'Berechnung-WÜ-Material'!$BA$110,IF(AND('Daten-Materialien'!K221&gt;=30,'Daten-Materialien'!K221&lt;45),'Berechnung-WÜ-Material'!$BB$110,IF(AND(K221&gt;=45,K221&lt;60),'Berechnung-WÜ-Material'!$BC$110,IF(AND('Daten-Materialien'!K221&gt;=60,'Daten-Materialien'!K221&lt;75),'Berechnung-WÜ-Material'!$BD$110,IF('Daten-Materialien'!K221&gt;75,'Berechnung-WÜ-Material'!$BE$110,"FEHLER"))))))</f>
        <v>2.6681383364247617</v>
      </c>
      <c r="T221" s="241">
        <f>SUM(Q221:S221)+(L221*3*'Berechnung-WÜ-Material'!$G$22)</f>
        <v>9.611824212081622</v>
      </c>
      <c r="U221" s="241">
        <f t="shared" si="35"/>
        <v>24.488237825372586</v>
      </c>
      <c r="V221" s="241">
        <f>100/'Berechnung-WÜ-Material'!$BF$112*'Daten-Materialien'!T221</f>
        <v>46.917741543835547</v>
      </c>
      <c r="W221" s="241">
        <f t="shared" si="32"/>
        <v>225</v>
      </c>
      <c r="X221" s="241" t="str">
        <f t="shared" si="38"/>
        <v/>
      </c>
      <c r="Y221" s="241">
        <f t="shared" si="39"/>
        <v>4</v>
      </c>
      <c r="Z221" s="241" t="str">
        <f t="shared" si="40"/>
        <v/>
      </c>
      <c r="AB221" s="241" t="s">
        <v>911</v>
      </c>
    </row>
    <row r="222" spans="1:28" ht="39" x14ac:dyDescent="0.25">
      <c r="A222" s="241" t="str">
        <f t="shared" si="36"/>
        <v/>
      </c>
      <c r="B222" s="241" t="s">
        <v>801</v>
      </c>
      <c r="D222" s="339">
        <v>7.89</v>
      </c>
      <c r="E222" s="241">
        <f t="shared" si="37"/>
        <v>7.89</v>
      </c>
      <c r="G222" s="241">
        <v>68</v>
      </c>
      <c r="H222" s="241">
        <f t="shared" si="33"/>
        <v>68</v>
      </c>
      <c r="J222" s="339">
        <v>52</v>
      </c>
      <c r="K222" s="241">
        <f t="shared" si="34"/>
        <v>52</v>
      </c>
      <c r="L222" s="339">
        <v>0</v>
      </c>
      <c r="M222" s="241">
        <f>(4.8-10)/10*100</f>
        <v>-52</v>
      </c>
      <c r="N222" s="130" t="s">
        <v>796</v>
      </c>
      <c r="Q222" s="241">
        <f>IF(H222&lt;60,'Berechnung-WÜ-Material'!$AL$110,IF(AND(H222&gt;=60,H222&lt;80),'Berechnung-WÜ-Material'!$AM$110,IF(AND('Daten-Materialien'!H222&gt;=80,'Daten-Materialien'!H222&lt;100),'Berechnung-WÜ-Material'!$AN$110,IF(AND(H222&gt;=100,H222&lt;120),'Berechnung-WÜ-Material'!$AO$110,IF(AND('Daten-Materialien'!H222&gt;=120,'Daten-Materialien'!H222&lt;140),'Berechnung-WÜ-Material'!$AP$110,IF('Daten-Materialien'!H222&gt;140,'Berechnung-WÜ-Material'!$AQ$110,"FEHLER"))))))</f>
        <v>1.4830749679207913</v>
      </c>
      <c r="R222" s="241">
        <f>IF(E222&lt;0.1,'Berechnung-WÜ-Material'!$AS$110,IF(AND(E222&gt;=0.1,E222&lt;0.3),'Berechnung-WÜ-Material'!$AT$110,IF(AND('Daten-Materialien'!E222&gt;=0.3,'Daten-Materialien'!E222&lt;0.6),'Berechnung-WÜ-Material'!$AU$110,IF(AND(E222&gt;=0.6,E222&lt;1),'Berechnung-WÜ-Material'!$AV$110,IF(AND('Daten-Materialien'!E222&gt;=1,'Daten-Materialien'!E222&lt;1.5),'Berechnung-WÜ-Material'!$AW$110,IF('Daten-Materialien'!E222&gt;1.5,'Berechnung-WÜ-Material'!$AX$110,"FEHLER"))))))</f>
        <v>5.4606109077360685</v>
      </c>
      <c r="S222" s="241">
        <f>IF(K222&lt;15,'Berechnung-WÜ-Material'!$AZ$110,IF(AND(K222&gt;=15,K222&lt;30),'Berechnung-WÜ-Material'!$BA$110,IF(AND('Daten-Materialien'!K222&gt;=30,'Daten-Materialien'!K222&lt;45),'Berechnung-WÜ-Material'!$BB$110,IF(AND(K222&gt;=45,K222&lt;60),'Berechnung-WÜ-Material'!$BC$110,IF(AND('Daten-Materialien'!K222&gt;=60,'Daten-Materialien'!K222&lt;75),'Berechnung-WÜ-Material'!$BD$110,IF('Daten-Materialien'!K222&gt;75,'Berechnung-WÜ-Material'!$BE$110,"FEHLER"))))))</f>
        <v>2.6681383364247617</v>
      </c>
      <c r="T222" s="241">
        <f>SUM(Q222:S222)+(L222*3*'Berechnung-WÜ-Material'!$G$22)</f>
        <v>9.611824212081622</v>
      </c>
      <c r="U222" s="241">
        <f t="shared" si="35"/>
        <v>24.488237825372586</v>
      </c>
      <c r="V222" s="241">
        <f>100/'Berechnung-WÜ-Material'!$BF$112*'Daten-Materialien'!T222</f>
        <v>46.917741543835547</v>
      </c>
      <c r="W222" s="241">
        <f t="shared" si="32"/>
        <v>225</v>
      </c>
      <c r="X222" s="241" t="str">
        <f t="shared" si="38"/>
        <v/>
      </c>
      <c r="Y222" s="241">
        <f t="shared" si="39"/>
        <v>4</v>
      </c>
      <c r="Z222" s="241" t="str">
        <f t="shared" si="40"/>
        <v/>
      </c>
      <c r="AB222" s="241" t="s">
        <v>908</v>
      </c>
    </row>
    <row r="223" spans="1:28" ht="39" x14ac:dyDescent="0.25">
      <c r="A223" s="241" t="str">
        <f t="shared" si="36"/>
        <v/>
      </c>
      <c r="B223" s="241" t="s">
        <v>915</v>
      </c>
      <c r="D223" s="339">
        <v>1.32</v>
      </c>
      <c r="E223" s="241">
        <f t="shared" si="37"/>
        <v>1.32</v>
      </c>
      <c r="G223" s="241">
        <v>83.6</v>
      </c>
      <c r="H223" s="241">
        <f t="shared" si="33"/>
        <v>83.6</v>
      </c>
      <c r="J223" s="338">
        <v>50</v>
      </c>
      <c r="K223" s="241">
        <f t="shared" si="34"/>
        <v>50</v>
      </c>
      <c r="L223" s="339">
        <v>0</v>
      </c>
      <c r="M223" s="241">
        <f>(2800-6000)/6000*100</f>
        <v>-53.333333333333336</v>
      </c>
      <c r="N223" s="130" t="s">
        <v>802</v>
      </c>
      <c r="Q223" s="241">
        <f>IF(H223&lt;60,'Berechnung-WÜ-Material'!$AL$110,IF(AND(H223&gt;=60,H223&lt;80),'Berechnung-WÜ-Material'!$AM$110,IF(AND('Daten-Materialien'!H223&gt;=80,'Daten-Materialien'!H223&lt;100),'Berechnung-WÜ-Material'!$AN$110,IF(AND(H223&gt;=100,H223&lt;120),'Berechnung-WÜ-Material'!$AO$110,IF(AND('Daten-Materialien'!H223&gt;=120,'Daten-Materialien'!H223&lt;140),'Berechnung-WÜ-Material'!$AP$110,IF('Daten-Materialien'!H223&gt;140,'Berechnung-WÜ-Material'!$AQ$110,"FEHLER"))))))</f>
        <v>2.9517194566014666</v>
      </c>
      <c r="R223" s="241">
        <f>IF(E223&lt;0.1,'Berechnung-WÜ-Material'!$AS$110,IF(AND(E223&gt;=0.1,E223&lt;0.3),'Berechnung-WÜ-Material'!$AT$110,IF(AND('Daten-Materialien'!E223&gt;=0.3,'Daten-Materialien'!E223&lt;0.6),'Berechnung-WÜ-Material'!$AU$110,IF(AND(E223&gt;=0.6,E223&lt;1),'Berechnung-WÜ-Material'!$AV$110,IF(AND('Daten-Materialien'!E223&gt;=1,'Daten-Materialien'!E223&lt;1.5),'Berechnung-WÜ-Material'!$AW$110,IF('Daten-Materialien'!E223&gt;1.5,'Berechnung-WÜ-Material'!$AX$110,"FEHLER"))))))</f>
        <v>3.6900162641574328</v>
      </c>
      <c r="S223" s="241">
        <f>IF(K223&lt;15,'Berechnung-WÜ-Material'!$AZ$110,IF(AND(K223&gt;=15,K223&lt;30),'Berechnung-WÜ-Material'!$BA$110,IF(AND('Daten-Materialien'!K223&gt;=30,'Daten-Materialien'!K223&lt;45),'Berechnung-WÜ-Material'!$BB$110,IF(AND(K223&gt;=45,K223&lt;60),'Berechnung-WÜ-Material'!$BC$110,IF(AND('Daten-Materialien'!K223&gt;=60,'Daten-Materialien'!K223&lt;75),'Berechnung-WÜ-Material'!$BD$110,IF('Daten-Materialien'!K223&gt;75,'Berechnung-WÜ-Material'!$BE$110,"FEHLER"))))))</f>
        <v>2.6681383364247617</v>
      </c>
      <c r="T223" s="241">
        <f>SUM(Q223:S223)+(L223*3*'Berechnung-WÜ-Material'!$G$22)</f>
        <v>9.3098740571836611</v>
      </c>
      <c r="U223" s="241">
        <f t="shared" si="35"/>
        <v>23.369903918253634</v>
      </c>
      <c r="V223" s="241">
        <f>100/'Berechnung-WÜ-Material'!$BF$112*'Daten-Materialien'!T223</f>
        <v>45.4438465771739</v>
      </c>
      <c r="W223" s="241">
        <f t="shared" si="32"/>
        <v>233</v>
      </c>
      <c r="X223" s="241" t="str">
        <f t="shared" si="38"/>
        <v/>
      </c>
      <c r="Y223" s="241">
        <f t="shared" si="39"/>
        <v>4</v>
      </c>
      <c r="Z223" s="241" t="str">
        <f t="shared" si="40"/>
        <v/>
      </c>
      <c r="AB223" s="241" t="s">
        <v>914</v>
      </c>
    </row>
    <row r="224" spans="1:28" ht="39" x14ac:dyDescent="0.25">
      <c r="A224" s="241" t="str">
        <f t="shared" si="36"/>
        <v/>
      </c>
      <c r="B224" s="241" t="s">
        <v>916</v>
      </c>
      <c r="D224" s="339">
        <v>1.32</v>
      </c>
      <c r="E224" s="241">
        <f t="shared" si="37"/>
        <v>1.32</v>
      </c>
      <c r="G224" s="241">
        <v>47.3</v>
      </c>
      <c r="H224" s="241">
        <f t="shared" si="33"/>
        <v>47.3</v>
      </c>
      <c r="J224" s="338">
        <v>50</v>
      </c>
      <c r="K224" s="241">
        <f t="shared" si="34"/>
        <v>50</v>
      </c>
      <c r="L224" s="339">
        <v>0</v>
      </c>
      <c r="M224" s="241">
        <f>(1800-6000)/6000*100</f>
        <v>-70</v>
      </c>
      <c r="N224" s="130" t="s">
        <v>802</v>
      </c>
      <c r="Q224" s="241">
        <f>IF(H224&lt;60,'Berechnung-WÜ-Material'!$AL$110,IF(AND(H224&gt;=60,H224&lt;80),'Berechnung-WÜ-Material'!$AM$110,IF(AND('Daten-Materialien'!H224&gt;=80,'Daten-Materialien'!H224&lt;100),'Berechnung-WÜ-Material'!$AN$110,IF(AND(H224&gt;=100,H224&lt;120),'Berechnung-WÜ-Material'!$AO$110,IF(AND('Daten-Materialien'!H224&gt;=120,'Daten-Materialien'!H224&lt;140),'Berechnung-WÜ-Material'!$AP$110,IF('Daten-Materialien'!H224&gt;140,'Berechnung-WÜ-Material'!$AQ$110,"FEHLER"))))))</f>
        <v>2.2063369805171464</v>
      </c>
      <c r="R224" s="241">
        <f>IF(E224&lt;0.1,'Berechnung-WÜ-Material'!$AS$110,IF(AND(E224&gt;=0.1,E224&lt;0.3),'Berechnung-WÜ-Material'!$AT$110,IF(AND('Daten-Materialien'!E224&gt;=0.3,'Daten-Materialien'!E224&lt;0.6),'Berechnung-WÜ-Material'!$AU$110,IF(AND(E224&gt;=0.6,E224&lt;1),'Berechnung-WÜ-Material'!$AV$110,IF(AND('Daten-Materialien'!E224&gt;=1,'Daten-Materialien'!E224&lt;1.5),'Berechnung-WÜ-Material'!$AW$110,IF('Daten-Materialien'!E224&gt;1.5,'Berechnung-WÜ-Material'!$AX$110,"FEHLER"))))))</f>
        <v>3.6900162641574328</v>
      </c>
      <c r="S224" s="241">
        <f>IF(K224&lt;15,'Berechnung-WÜ-Material'!$AZ$110,IF(AND(K224&gt;=15,K224&lt;30),'Berechnung-WÜ-Material'!$BA$110,IF(AND('Daten-Materialien'!K224&gt;=30,'Daten-Materialien'!K224&lt;45),'Berechnung-WÜ-Material'!$BB$110,IF(AND(K224&gt;=45,K224&lt;60),'Berechnung-WÜ-Material'!$BC$110,IF(AND('Daten-Materialien'!K224&gt;=60,'Daten-Materialien'!K224&lt;75),'Berechnung-WÜ-Material'!$BD$110,IF('Daten-Materialien'!K224&gt;75,'Berechnung-WÜ-Material'!$BE$110,"FEHLER"))))))</f>
        <v>2.6681383364247617</v>
      </c>
      <c r="T224" s="241">
        <f>SUM(Q224:S224)+(L224*3*'Berechnung-WÜ-Material'!$G$22)</f>
        <v>8.5644915810993396</v>
      </c>
      <c r="U224" s="241">
        <f t="shared" si="35"/>
        <v>20.60922808068344</v>
      </c>
      <c r="V224" s="241">
        <f>100/'Berechnung-WÜ-Material'!$BF$112*'Daten-Materialien'!T224</f>
        <v>41.805446457426541</v>
      </c>
      <c r="W224" s="241">
        <f t="shared" si="32"/>
        <v>236</v>
      </c>
      <c r="X224" s="241" t="str">
        <f t="shared" si="38"/>
        <v/>
      </c>
      <c r="Y224" s="241">
        <f t="shared" si="39"/>
        <v>4</v>
      </c>
      <c r="Z224" s="241" t="str">
        <f t="shared" si="40"/>
        <v/>
      </c>
      <c r="AB224" s="241" t="s">
        <v>907</v>
      </c>
    </row>
    <row r="225" spans="1:28" ht="39" x14ac:dyDescent="0.25">
      <c r="A225" s="241" t="str">
        <f t="shared" si="36"/>
        <v/>
      </c>
      <c r="B225" s="241" t="s">
        <v>917</v>
      </c>
      <c r="D225" s="339">
        <v>0.05</v>
      </c>
      <c r="E225" s="241">
        <f t="shared" si="37"/>
        <v>0.05</v>
      </c>
      <c r="G225" s="241">
        <v>72</v>
      </c>
      <c r="H225" s="241">
        <f t="shared" si="33"/>
        <v>72</v>
      </c>
      <c r="J225" s="338">
        <v>50</v>
      </c>
      <c r="K225" s="241">
        <f t="shared" si="34"/>
        <v>50</v>
      </c>
      <c r="L225" s="339">
        <v>0</v>
      </c>
      <c r="M225" s="241">
        <f>(3500-6000)/6000*100</f>
        <v>-41.666666666666671</v>
      </c>
      <c r="N225" s="130" t="s">
        <v>802</v>
      </c>
      <c r="Q225" s="241">
        <f>IF(H225&lt;60,'Berechnung-WÜ-Material'!$AL$110,IF(AND(H225&gt;=60,H225&lt;80),'Berechnung-WÜ-Material'!$AM$110,IF(AND('Daten-Materialien'!H225&gt;=80,'Daten-Materialien'!H225&lt;100),'Berechnung-WÜ-Material'!$AN$110,IF(AND(H225&gt;=100,H225&lt;120),'Berechnung-WÜ-Material'!$AO$110,IF(AND('Daten-Materialien'!H225&gt;=120,'Daten-Materialien'!H225&lt;140),'Berechnung-WÜ-Material'!$AP$110,IF('Daten-Materialien'!H225&gt;140,'Berechnung-WÜ-Material'!$AQ$110,"FEHLER"))))))</f>
        <v>1.4830749679207913</v>
      </c>
      <c r="R225" s="241">
        <f>IF(E225&lt;0.1,'Berechnung-WÜ-Material'!$AS$110,IF(AND(E225&gt;=0.1,E225&lt;0.3),'Berechnung-WÜ-Material'!$AT$110,IF(AND('Daten-Materialien'!E225&gt;=0.3,'Daten-Materialien'!E225&lt;0.6),'Berechnung-WÜ-Material'!$AU$110,IF(AND(E225&gt;=0.6,E225&lt;1),'Berechnung-WÜ-Material'!$AV$110,IF(AND('Daten-Materialien'!E225&gt;=1,'Daten-Materialien'!E225&lt;1.5),'Berechnung-WÜ-Material'!$AW$110,IF('Daten-Materialien'!E225&gt;1.5,'Berechnung-WÜ-Material'!$AX$110,"FEHLER"))))))</f>
        <v>5.4090960472347849</v>
      </c>
      <c r="S225" s="241">
        <f>IF(K225&lt;15,'Berechnung-WÜ-Material'!$AZ$110,IF(AND(K225&gt;=15,K225&lt;30),'Berechnung-WÜ-Material'!$BA$110,IF(AND('Daten-Materialien'!K225&gt;=30,'Daten-Materialien'!K225&lt;45),'Berechnung-WÜ-Material'!$BB$110,IF(AND(K225&gt;=45,K225&lt;60),'Berechnung-WÜ-Material'!$BC$110,IF(AND('Daten-Materialien'!K225&gt;=60,'Daten-Materialien'!K225&lt;75),'Berechnung-WÜ-Material'!$BD$110,IF('Daten-Materialien'!K225&gt;75,'Berechnung-WÜ-Material'!$BE$110,"FEHLER"))))))</f>
        <v>2.6681383364247617</v>
      </c>
      <c r="T225" s="241">
        <f>SUM(Q225:S225)+(L225*3*'Berechnung-WÜ-Material'!$G$22)</f>
        <v>9.5603093515803366</v>
      </c>
      <c r="U225" s="241">
        <f t="shared" si="35"/>
        <v>24.297442045722931</v>
      </c>
      <c r="V225" s="241">
        <f>100/'Berechnung-WÜ-Material'!$BF$112*'Daten-Materialien'!T225</f>
        <v>46.666284499123051</v>
      </c>
      <c r="W225" s="241">
        <f t="shared" si="32"/>
        <v>230</v>
      </c>
      <c r="X225" s="241" t="str">
        <f t="shared" si="38"/>
        <v/>
      </c>
      <c r="Y225" s="241">
        <f t="shared" si="39"/>
        <v>4</v>
      </c>
      <c r="Z225" s="241" t="str">
        <f t="shared" si="40"/>
        <v/>
      </c>
      <c r="AB225" s="241" t="s">
        <v>913</v>
      </c>
    </row>
    <row r="226" spans="1:28" ht="39" x14ac:dyDescent="0.25">
      <c r="A226" s="241" t="str">
        <f t="shared" si="36"/>
        <v/>
      </c>
      <c r="B226" s="241" t="s">
        <v>918</v>
      </c>
      <c r="D226" s="339">
        <v>0.05</v>
      </c>
      <c r="E226" s="241">
        <f t="shared" si="37"/>
        <v>0.05</v>
      </c>
      <c r="G226" s="241">
        <v>41.4</v>
      </c>
      <c r="H226" s="241">
        <f t="shared" si="33"/>
        <v>41.4</v>
      </c>
      <c r="J226" s="338">
        <v>50</v>
      </c>
      <c r="K226" s="241">
        <f t="shared" si="34"/>
        <v>50</v>
      </c>
      <c r="L226" s="339">
        <v>0</v>
      </c>
      <c r="M226" s="241">
        <f>(2500-6000)/6000*100</f>
        <v>-58.333333333333336</v>
      </c>
      <c r="N226" s="130" t="s">
        <v>802</v>
      </c>
      <c r="Q226" s="241">
        <f>IF(H226&lt;60,'Berechnung-WÜ-Material'!$AL$110,IF(AND(H226&gt;=60,H226&lt;80),'Berechnung-WÜ-Material'!$AM$110,IF(AND('Daten-Materialien'!H226&gt;=80,'Daten-Materialien'!H226&lt;100),'Berechnung-WÜ-Material'!$AN$110,IF(AND(H226&gt;=100,H226&lt;120),'Berechnung-WÜ-Material'!$AO$110,IF(AND('Daten-Materialien'!H226&gt;=120,'Daten-Materialien'!H226&lt;140),'Berechnung-WÜ-Material'!$AP$110,IF('Daten-Materialien'!H226&gt;140,'Berechnung-WÜ-Material'!$AQ$110,"FEHLER"))))))</f>
        <v>2.2063369805171464</v>
      </c>
      <c r="R226" s="241">
        <f>IF(E226&lt;0.1,'Berechnung-WÜ-Material'!$AS$110,IF(AND(E226&gt;=0.1,E226&lt;0.3),'Berechnung-WÜ-Material'!$AT$110,IF(AND('Daten-Materialien'!E226&gt;=0.3,'Daten-Materialien'!E226&lt;0.6),'Berechnung-WÜ-Material'!$AU$110,IF(AND(E226&gt;=0.6,E226&lt;1),'Berechnung-WÜ-Material'!$AV$110,IF(AND('Daten-Materialien'!E226&gt;=1,'Daten-Materialien'!E226&lt;1.5),'Berechnung-WÜ-Material'!$AW$110,IF('Daten-Materialien'!E226&gt;1.5,'Berechnung-WÜ-Material'!$AX$110,"FEHLER"))))))</f>
        <v>5.4090960472347849</v>
      </c>
      <c r="S226" s="241">
        <f>IF(K226&lt;15,'Berechnung-WÜ-Material'!$AZ$110,IF(AND(K226&gt;=15,K226&lt;30),'Berechnung-WÜ-Material'!$BA$110,IF(AND('Daten-Materialien'!K226&gt;=30,'Daten-Materialien'!K226&lt;45),'Berechnung-WÜ-Material'!$BB$110,IF(AND(K226&gt;=45,K226&lt;60),'Berechnung-WÜ-Material'!$BC$110,IF(AND('Daten-Materialien'!K226&gt;=60,'Daten-Materialien'!K226&lt;75),'Berechnung-WÜ-Material'!$BD$110,IF('Daten-Materialien'!K226&gt;75,'Berechnung-WÜ-Material'!$BE$110,"FEHLER"))))))</f>
        <v>2.6681383364247617</v>
      </c>
      <c r="T226" s="241">
        <f>SUM(Q226:S226)+(L226*3*'Berechnung-WÜ-Material'!$G$22)</f>
        <v>10.283571364176694</v>
      </c>
      <c r="U226" s="241">
        <f t="shared" si="35"/>
        <v>26.976190240738553</v>
      </c>
      <c r="V226" s="241">
        <f>100/'Berechnung-WÜ-Material'!$BF$112*'Daten-Materialien'!T226</f>
        <v>50.196709049836016</v>
      </c>
      <c r="W226" s="241">
        <f t="shared" si="32"/>
        <v>211</v>
      </c>
      <c r="X226" s="241" t="str">
        <f t="shared" si="38"/>
        <v/>
      </c>
      <c r="Y226" s="241">
        <f t="shared" si="39"/>
        <v>4</v>
      </c>
      <c r="Z226" s="241" t="str">
        <f t="shared" si="40"/>
        <v/>
      </c>
      <c r="AB226" s="241" t="s">
        <v>693</v>
      </c>
    </row>
    <row r="227" spans="1:28" ht="115.5" x14ac:dyDescent="0.25">
      <c r="A227" s="241" t="str">
        <f t="shared" si="36"/>
        <v/>
      </c>
      <c r="B227" s="241" t="s">
        <v>905</v>
      </c>
      <c r="D227" s="339">
        <v>2.98</v>
      </c>
      <c r="E227" s="241">
        <f t="shared" si="37"/>
        <v>2.98</v>
      </c>
      <c r="G227" s="241">
        <v>107.6</v>
      </c>
      <c r="H227" s="241">
        <f t="shared" si="33"/>
        <v>107.6</v>
      </c>
      <c r="J227" s="338">
        <v>20</v>
      </c>
      <c r="K227" s="241">
        <f t="shared" si="34"/>
        <v>20</v>
      </c>
      <c r="L227" s="339">
        <v>0</v>
      </c>
      <c r="M227" s="241">
        <f>(6000-6000)/6000*100</f>
        <v>0</v>
      </c>
      <c r="N227" s="130" t="s">
        <v>802</v>
      </c>
      <c r="O227" s="130" t="s">
        <v>803</v>
      </c>
      <c r="Q227" s="241">
        <f>IF(H227&lt;60,'Berechnung-WÜ-Material'!$AL$110,IF(AND(H227&gt;=60,H227&lt;80),'Berechnung-WÜ-Material'!$AM$110,IF(AND('Daten-Materialien'!H227&gt;=80,'Daten-Materialien'!H227&lt;100),'Berechnung-WÜ-Material'!$AN$110,IF(AND(H227&gt;=100,H227&lt;120),'Berechnung-WÜ-Material'!$AO$110,IF(AND('Daten-Materialien'!H227&gt;=120,'Daten-Materialien'!H227&lt;140),'Berechnung-WÜ-Material'!$AP$110,IF('Daten-Materialien'!H227&gt;140,'Berechnung-WÜ-Material'!$AQ$110,"FEHLER"))))))</f>
        <v>3.4064092551223228</v>
      </c>
      <c r="R227" s="241">
        <f>IF(E227&lt;0.1,'Berechnung-WÜ-Material'!$AS$110,IF(AND(E227&gt;=0.1,E227&lt;0.3),'Berechnung-WÜ-Material'!$AT$110,IF(AND('Daten-Materialien'!E227&gt;=0.3,'Daten-Materialien'!E227&lt;0.6),'Berechnung-WÜ-Material'!$AU$110,IF(AND(E227&gt;=0.6,E227&lt;1),'Berechnung-WÜ-Material'!$AV$110,IF(AND('Daten-Materialien'!E227&gt;=1,'Daten-Materialien'!E227&lt;1.5),'Berechnung-WÜ-Material'!$AW$110,IF('Daten-Materialien'!E227&gt;1.5,'Berechnung-WÜ-Material'!$AX$110,"FEHLER"))))))</f>
        <v>5.4606109077360685</v>
      </c>
      <c r="S227" s="241">
        <f>IF(K227&lt;15,'Berechnung-WÜ-Material'!$AZ$110,IF(AND(K227&gt;=15,K227&lt;30),'Berechnung-WÜ-Material'!$BA$110,IF(AND('Daten-Materialien'!K227&gt;=30,'Daten-Materialien'!K227&lt;45),'Berechnung-WÜ-Material'!$BB$110,IF(AND(K227&gt;=45,K227&lt;60),'Berechnung-WÜ-Material'!$BC$110,IF(AND('Daten-Materialien'!K227&gt;=60,'Daten-Materialien'!K227&lt;75),'Berechnung-WÜ-Material'!$BD$110,IF('Daten-Materialien'!K227&gt;75,'Berechnung-WÜ-Material'!$BE$110,"FEHLER"))))))</f>
        <v>5.3164008462907759</v>
      </c>
      <c r="T227" s="241">
        <f>SUM(Q227:S227)+(L227*3*'Berechnung-WÜ-Material'!$G$22)</f>
        <v>14.183421009149168</v>
      </c>
      <c r="U227" s="241">
        <f t="shared" si="35"/>
        <v>41.420077815866193</v>
      </c>
      <c r="V227" s="241">
        <f>100/'Berechnung-WÜ-Material'!$BF$112*'Daten-Materialien'!T227</f>
        <v>69.23286011392328</v>
      </c>
      <c r="W227" s="241">
        <f t="shared" ref="W227:W238" si="41">RANK(V227,$V$2:$V$238)</f>
        <v>126</v>
      </c>
      <c r="X227" s="241" t="str">
        <f t="shared" si="38"/>
        <v/>
      </c>
      <c r="Y227" s="241">
        <f t="shared" si="39"/>
        <v>4</v>
      </c>
      <c r="Z227" s="241" t="str">
        <f t="shared" si="40"/>
        <v/>
      </c>
      <c r="AB227" s="241" t="s">
        <v>695</v>
      </c>
    </row>
    <row r="228" spans="1:28" ht="115.5" x14ac:dyDescent="0.25">
      <c r="A228" s="241" t="str">
        <f t="shared" si="36"/>
        <v/>
      </c>
      <c r="B228" s="241" t="s">
        <v>906</v>
      </c>
      <c r="D228" s="339">
        <v>2.98</v>
      </c>
      <c r="E228" s="241">
        <f t="shared" si="37"/>
        <v>2.98</v>
      </c>
      <c r="G228" s="241">
        <v>76.2</v>
      </c>
      <c r="H228" s="241">
        <f t="shared" si="33"/>
        <v>76.2</v>
      </c>
      <c r="J228" s="338">
        <f>-0.9268*G228+97.59</f>
        <v>26.96784000000001</v>
      </c>
      <c r="K228" s="241">
        <f t="shared" si="34"/>
        <v>26.96784000000001</v>
      </c>
      <c r="L228" s="339">
        <v>0</v>
      </c>
      <c r="M228" s="241">
        <f>(4000-6000)/6000*100</f>
        <v>-33.333333333333329</v>
      </c>
      <c r="N228" s="130" t="s">
        <v>802</v>
      </c>
      <c r="O228" s="130" t="s">
        <v>803</v>
      </c>
      <c r="Q228" s="241">
        <f>IF(H228&lt;60,'Berechnung-WÜ-Material'!$AL$110,IF(AND(H228&gt;=60,H228&lt;80),'Berechnung-WÜ-Material'!$AM$110,IF(AND('Daten-Materialien'!H228&gt;=80,'Daten-Materialien'!H228&lt;100),'Berechnung-WÜ-Material'!$AN$110,IF(AND(H228&gt;=100,H228&lt;120),'Berechnung-WÜ-Material'!$AO$110,IF(AND('Daten-Materialien'!H228&gt;=120,'Daten-Materialien'!H228&lt;140),'Berechnung-WÜ-Material'!$AP$110,IF('Daten-Materialien'!H228&gt;140,'Berechnung-WÜ-Material'!$AQ$110,"FEHLER"))))))</f>
        <v>1.4830749679207913</v>
      </c>
      <c r="R228" s="241">
        <f>IF(E228&lt;0.1,'Berechnung-WÜ-Material'!$AS$110,IF(AND(E228&gt;=0.1,E228&lt;0.3),'Berechnung-WÜ-Material'!$AT$110,IF(AND('Daten-Materialien'!E228&gt;=0.3,'Daten-Materialien'!E228&lt;0.6),'Berechnung-WÜ-Material'!$AU$110,IF(AND(E228&gt;=0.6,E228&lt;1),'Berechnung-WÜ-Material'!$AV$110,IF(AND('Daten-Materialien'!E228&gt;=1,'Daten-Materialien'!E228&lt;1.5),'Berechnung-WÜ-Material'!$AW$110,IF('Daten-Materialien'!E228&gt;1.5,'Berechnung-WÜ-Material'!$AX$110,"FEHLER"))))))</f>
        <v>5.4606109077360685</v>
      </c>
      <c r="S228" s="241">
        <f>IF(K228&lt;15,'Berechnung-WÜ-Material'!$AZ$110,IF(AND(K228&gt;=15,K228&lt;30),'Berechnung-WÜ-Material'!$BA$110,IF(AND('Daten-Materialien'!K228&gt;=30,'Daten-Materialien'!K228&lt;45),'Berechnung-WÜ-Material'!$BB$110,IF(AND(K228&gt;=45,K228&lt;60),'Berechnung-WÜ-Material'!$BC$110,IF(AND('Daten-Materialien'!K228&gt;=60,'Daten-Materialien'!K228&lt;75),'Berechnung-WÜ-Material'!$BD$110,IF('Daten-Materialien'!K228&gt;75,'Berechnung-WÜ-Material'!$BE$110,"FEHLER"))))))</f>
        <v>5.3164008462907759</v>
      </c>
      <c r="T228" s="241">
        <f>SUM(Q228:S228)+(L228*3*'Berechnung-WÜ-Material'!$G$22)</f>
        <v>12.260086721947635</v>
      </c>
      <c r="U228" s="241">
        <f t="shared" si="35"/>
        <v>34.296617492327677</v>
      </c>
      <c r="V228" s="241">
        <f>100/'Berechnung-WÜ-Material'!$BF$112*'Daten-Materialien'!T228</f>
        <v>59.844579700316359</v>
      </c>
      <c r="W228" s="241">
        <f t="shared" si="41"/>
        <v>193</v>
      </c>
      <c r="X228" s="241" t="str">
        <f t="shared" si="38"/>
        <v/>
      </c>
      <c r="Y228" s="241">
        <f t="shared" si="39"/>
        <v>4</v>
      </c>
      <c r="Z228" s="241" t="str">
        <f t="shared" si="40"/>
        <v/>
      </c>
      <c r="AB228" s="241" t="s">
        <v>700</v>
      </c>
    </row>
    <row r="229" spans="1:28" ht="115.5" x14ac:dyDescent="0.25">
      <c r="A229" s="241" t="str">
        <f t="shared" si="36"/>
        <v/>
      </c>
      <c r="B229" s="241" t="s">
        <v>907</v>
      </c>
      <c r="D229" s="339">
        <v>0.09</v>
      </c>
      <c r="E229" s="241">
        <f t="shared" si="37"/>
        <v>0.09</v>
      </c>
      <c r="G229" s="241">
        <v>96.8</v>
      </c>
      <c r="H229" s="241">
        <f t="shared" si="33"/>
        <v>96.8</v>
      </c>
      <c r="J229" s="338">
        <v>20</v>
      </c>
      <c r="K229" s="241">
        <f t="shared" si="34"/>
        <v>20</v>
      </c>
      <c r="L229" s="339">
        <v>0</v>
      </c>
      <c r="M229" s="241">
        <f>(5800-6000)/6000*100</f>
        <v>-3.3333333333333335</v>
      </c>
      <c r="N229" s="130" t="s">
        <v>802</v>
      </c>
      <c r="O229" s="130" t="s">
        <v>803</v>
      </c>
      <c r="Q229" s="241">
        <f>IF(H229&lt;60,'Berechnung-WÜ-Material'!$AL$110,IF(AND(H229&gt;=60,H229&lt;80),'Berechnung-WÜ-Material'!$AM$110,IF(AND('Daten-Materialien'!H229&gt;=80,'Daten-Materialien'!H229&lt;100),'Berechnung-WÜ-Material'!$AN$110,IF(AND(H229&gt;=100,H229&lt;120),'Berechnung-WÜ-Material'!$AO$110,IF(AND('Daten-Materialien'!H229&gt;=120,'Daten-Materialien'!H229&lt;140),'Berechnung-WÜ-Material'!$AP$110,IF('Daten-Materialien'!H229&gt;140,'Berechnung-WÜ-Material'!$AQ$110,"FEHLER"))))))</f>
        <v>2.9517194566014666</v>
      </c>
      <c r="R229" s="241">
        <f>IF(E229&lt;0.1,'Berechnung-WÜ-Material'!$AS$110,IF(AND(E229&gt;=0.1,E229&lt;0.3),'Berechnung-WÜ-Material'!$AT$110,IF(AND('Daten-Materialien'!E229&gt;=0.3,'Daten-Materialien'!E229&lt;0.6),'Berechnung-WÜ-Material'!$AU$110,IF(AND(E229&gt;=0.6,E229&lt;1),'Berechnung-WÜ-Material'!$AV$110,IF(AND('Daten-Materialien'!E229&gt;=1,'Daten-Materialien'!E229&lt;1.5),'Berechnung-WÜ-Material'!$AW$110,IF('Daten-Materialien'!E229&gt;1.5,'Berechnung-WÜ-Material'!$AX$110,"FEHLER"))))))</f>
        <v>5.4090960472347849</v>
      </c>
      <c r="S229" s="241">
        <f>IF(K229&lt;15,'Berechnung-WÜ-Material'!$AZ$110,IF(AND(K229&gt;=15,K229&lt;30),'Berechnung-WÜ-Material'!$BA$110,IF(AND('Daten-Materialien'!K229&gt;=30,'Daten-Materialien'!K229&lt;45),'Berechnung-WÜ-Material'!$BB$110,IF(AND(K229&gt;=45,K229&lt;60),'Berechnung-WÜ-Material'!$BC$110,IF(AND('Daten-Materialien'!K229&gt;=60,'Daten-Materialien'!K229&lt;75),'Berechnung-WÜ-Material'!$BD$110,IF('Daten-Materialien'!K229&gt;75,'Berechnung-WÜ-Material'!$BE$110,"FEHLER"))))))</f>
        <v>5.3164008462907759</v>
      </c>
      <c r="T229" s="241">
        <f>SUM(Q229:S229)+(L229*3*'Berechnung-WÜ-Material'!$G$22)</f>
        <v>13.677216350127027</v>
      </c>
      <c r="U229" s="241">
        <f t="shared" si="35"/>
        <v>39.545245745263834</v>
      </c>
      <c r="V229" s="241">
        <f>100/'Berechnung-WÜ-Material'!$BF$112*'Daten-Materialien'!T229</f>
        <v>66.761947326064188</v>
      </c>
      <c r="W229" s="241">
        <f t="shared" si="41"/>
        <v>145</v>
      </c>
      <c r="X229" s="241" t="str">
        <f t="shared" si="38"/>
        <v/>
      </c>
      <c r="Y229" s="241">
        <f t="shared" si="39"/>
        <v>4</v>
      </c>
      <c r="Z229" s="241" t="str">
        <f t="shared" si="40"/>
        <v/>
      </c>
      <c r="AB229" s="241" t="s">
        <v>698</v>
      </c>
    </row>
    <row r="230" spans="1:28" ht="115.5" x14ac:dyDescent="0.25">
      <c r="A230" s="241" t="str">
        <f t="shared" si="36"/>
        <v/>
      </c>
      <c r="B230" s="241" t="s">
        <v>908</v>
      </c>
      <c r="D230" s="339">
        <v>0.09</v>
      </c>
      <c r="E230" s="241">
        <f t="shared" si="37"/>
        <v>0.09</v>
      </c>
      <c r="G230" s="241">
        <v>65.2</v>
      </c>
      <c r="H230" s="241">
        <f t="shared" si="33"/>
        <v>65.2</v>
      </c>
      <c r="J230" s="338">
        <f>-0.9268*G230+97.59</f>
        <v>37.162640000000003</v>
      </c>
      <c r="K230" s="241">
        <f t="shared" si="34"/>
        <v>37.162640000000003</v>
      </c>
      <c r="L230" s="339">
        <v>0</v>
      </c>
      <c r="M230" s="241">
        <f>(4000-6000)/6000*100</f>
        <v>-33.333333333333329</v>
      </c>
      <c r="N230" s="130" t="s">
        <v>802</v>
      </c>
      <c r="O230" s="130" t="s">
        <v>803</v>
      </c>
      <c r="Q230" s="241">
        <f>IF(H230&lt;60,'Berechnung-WÜ-Material'!$AL$110,IF(AND(H230&gt;=60,H230&lt;80),'Berechnung-WÜ-Material'!$AM$110,IF(AND('Daten-Materialien'!H230&gt;=80,'Daten-Materialien'!H230&lt;100),'Berechnung-WÜ-Material'!$AN$110,IF(AND(H230&gt;=100,H230&lt;120),'Berechnung-WÜ-Material'!$AO$110,IF(AND('Daten-Materialien'!H230&gt;=120,'Daten-Materialien'!H230&lt;140),'Berechnung-WÜ-Material'!$AP$110,IF('Daten-Materialien'!H230&gt;140,'Berechnung-WÜ-Material'!$AQ$110,"FEHLER"))))))</f>
        <v>1.4830749679207913</v>
      </c>
      <c r="R230" s="241">
        <f>IF(E230&lt;0.1,'Berechnung-WÜ-Material'!$AS$110,IF(AND(E230&gt;=0.1,E230&lt;0.3),'Berechnung-WÜ-Material'!$AT$110,IF(AND('Daten-Materialien'!E230&gt;=0.3,'Daten-Materialien'!E230&lt;0.6),'Berechnung-WÜ-Material'!$AU$110,IF(AND(E230&gt;=0.6,E230&lt;1),'Berechnung-WÜ-Material'!$AV$110,IF(AND('Daten-Materialien'!E230&gt;=1,'Daten-Materialien'!E230&lt;1.5),'Berechnung-WÜ-Material'!$AW$110,IF('Daten-Materialien'!E230&gt;1.5,'Berechnung-WÜ-Material'!$AX$110,"FEHLER"))))))</f>
        <v>5.4090960472347849</v>
      </c>
      <c r="S230" s="241">
        <f>IF(K230&lt;15,'Berechnung-WÜ-Material'!$AZ$110,IF(AND(K230&gt;=15,K230&lt;30),'Berechnung-WÜ-Material'!$BA$110,IF(AND('Daten-Materialien'!K230&gt;=30,'Daten-Materialien'!K230&lt;45),'Berechnung-WÜ-Material'!$BB$110,IF(AND(K230&gt;=45,K230&lt;60),'Berechnung-WÜ-Material'!$BC$110,IF(AND('Daten-Materialien'!K230&gt;=60,'Daten-Materialien'!K230&lt;75),'Berechnung-WÜ-Material'!$BD$110,IF('Daten-Materialien'!K230&gt;75,'Berechnung-WÜ-Material'!$BE$110,"FEHLER"))))))</f>
        <v>5.9436257603083487</v>
      </c>
      <c r="T230" s="241">
        <f>SUM(Q230:S230)+(L230*3*'Berechnung-WÜ-Material'!$G$22)</f>
        <v>12.835796775463924</v>
      </c>
      <c r="U230" s="241">
        <f t="shared" si="35"/>
        <v>36.428876949965996</v>
      </c>
      <c r="V230" s="241">
        <f>100/'Berechnung-WÜ-Material'!$BF$112*'Daten-Materialien'!T230</f>
        <v>62.65476587300077</v>
      </c>
      <c r="W230" s="241">
        <f t="shared" si="41"/>
        <v>169</v>
      </c>
      <c r="X230" s="241" t="str">
        <f t="shared" si="38"/>
        <v/>
      </c>
      <c r="Y230" s="241">
        <f t="shared" si="39"/>
        <v>4</v>
      </c>
      <c r="Z230" s="241" t="str">
        <f t="shared" si="40"/>
        <v/>
      </c>
      <c r="AB230" s="241" t="s">
        <v>1014</v>
      </c>
    </row>
    <row r="231" spans="1:28" ht="39" x14ac:dyDescent="0.25">
      <c r="A231" s="241" t="str">
        <f t="shared" si="36"/>
        <v/>
      </c>
      <c r="B231" s="241" t="s">
        <v>919</v>
      </c>
      <c r="D231" s="339">
        <v>1.32</v>
      </c>
      <c r="E231" s="241">
        <f t="shared" si="37"/>
        <v>1.32</v>
      </c>
      <c r="G231" s="241">
        <v>83.6</v>
      </c>
      <c r="H231" s="241">
        <f t="shared" si="33"/>
        <v>83.6</v>
      </c>
      <c r="J231" s="338">
        <v>50</v>
      </c>
      <c r="K231" s="241">
        <f t="shared" si="34"/>
        <v>50</v>
      </c>
      <c r="L231" s="339">
        <v>0</v>
      </c>
      <c r="M231" s="241">
        <f>(1750-1800)/1800*100</f>
        <v>-2.7777777777777777</v>
      </c>
      <c r="N231" s="130" t="s">
        <v>802</v>
      </c>
      <c r="Q231" s="241">
        <f>IF(H231&lt;60,'Berechnung-WÜ-Material'!$AL$110,IF(AND(H231&gt;=60,H231&lt;80),'Berechnung-WÜ-Material'!$AM$110,IF(AND('Daten-Materialien'!H231&gt;=80,'Daten-Materialien'!H231&lt;100),'Berechnung-WÜ-Material'!$AN$110,IF(AND(H231&gt;=100,H231&lt;120),'Berechnung-WÜ-Material'!$AO$110,IF(AND('Daten-Materialien'!H231&gt;=120,'Daten-Materialien'!H231&lt;140),'Berechnung-WÜ-Material'!$AP$110,IF('Daten-Materialien'!H231&gt;140,'Berechnung-WÜ-Material'!$AQ$110,"FEHLER"))))))</f>
        <v>2.9517194566014666</v>
      </c>
      <c r="R231" s="241">
        <f>IF(E231&lt;0.1,'Berechnung-WÜ-Material'!$AS$110,IF(AND(E231&gt;=0.1,E231&lt;0.3),'Berechnung-WÜ-Material'!$AT$110,IF(AND('Daten-Materialien'!E231&gt;=0.3,'Daten-Materialien'!E231&lt;0.6),'Berechnung-WÜ-Material'!$AU$110,IF(AND(E231&gt;=0.6,E231&lt;1),'Berechnung-WÜ-Material'!$AV$110,IF(AND('Daten-Materialien'!E231&gt;=1,'Daten-Materialien'!E231&lt;1.5),'Berechnung-WÜ-Material'!$AW$110,IF('Daten-Materialien'!E231&gt;1.5,'Berechnung-WÜ-Material'!$AX$110,"FEHLER"))))))</f>
        <v>3.6900162641574328</v>
      </c>
      <c r="S231" s="241">
        <f>IF(K231&lt;15,'Berechnung-WÜ-Material'!$AZ$110,IF(AND(K231&gt;=15,K231&lt;30),'Berechnung-WÜ-Material'!$BA$110,IF(AND('Daten-Materialien'!K231&gt;=30,'Daten-Materialien'!K231&lt;45),'Berechnung-WÜ-Material'!$BB$110,IF(AND(K231&gt;=45,K231&lt;60),'Berechnung-WÜ-Material'!$BC$110,IF(AND('Daten-Materialien'!K231&gt;=60,'Daten-Materialien'!K231&lt;75),'Berechnung-WÜ-Material'!$BD$110,IF('Daten-Materialien'!K231&gt;75,'Berechnung-WÜ-Material'!$BE$110,"FEHLER"))))))</f>
        <v>2.6681383364247617</v>
      </c>
      <c r="T231" s="241">
        <f>SUM(Q231:S231)+(L231*3*'Berechnung-WÜ-Material'!$G$22)</f>
        <v>9.3098740571836611</v>
      </c>
      <c r="U231" s="241">
        <f t="shared" si="35"/>
        <v>23.369903918253634</v>
      </c>
      <c r="V231" s="241">
        <f>100/'Berechnung-WÜ-Material'!$BF$112*'Daten-Materialien'!T231</f>
        <v>45.4438465771739</v>
      </c>
      <c r="W231" s="241">
        <f t="shared" si="41"/>
        <v>233</v>
      </c>
      <c r="X231" s="241" t="str">
        <f t="shared" si="38"/>
        <v/>
      </c>
      <c r="Y231" s="241">
        <f t="shared" si="39"/>
        <v>4</v>
      </c>
      <c r="Z231" s="241" t="str">
        <f t="shared" si="40"/>
        <v/>
      </c>
      <c r="AB231" s="241" t="s">
        <v>1015</v>
      </c>
    </row>
    <row r="232" spans="1:28" ht="39" x14ac:dyDescent="0.25">
      <c r="A232" s="241" t="str">
        <f t="shared" si="36"/>
        <v/>
      </c>
      <c r="B232" s="241" t="s">
        <v>920</v>
      </c>
      <c r="D232" s="339">
        <v>1.32</v>
      </c>
      <c r="E232" s="241">
        <f t="shared" si="37"/>
        <v>1.32</v>
      </c>
      <c r="G232" s="241">
        <v>47.3</v>
      </c>
      <c r="H232" s="241">
        <f t="shared" si="33"/>
        <v>47.3</v>
      </c>
      <c r="J232" s="338">
        <v>50</v>
      </c>
      <c r="K232" s="241">
        <f t="shared" si="34"/>
        <v>50</v>
      </c>
      <c r="L232" s="339">
        <v>0</v>
      </c>
      <c r="M232" s="241">
        <v>0</v>
      </c>
      <c r="N232" s="130" t="s">
        <v>802</v>
      </c>
      <c r="Q232" s="241">
        <f>IF(H232&lt;60,'Berechnung-WÜ-Material'!$AL$110,IF(AND(H232&gt;=60,H232&lt;80),'Berechnung-WÜ-Material'!$AM$110,IF(AND('Daten-Materialien'!H232&gt;=80,'Daten-Materialien'!H232&lt;100),'Berechnung-WÜ-Material'!$AN$110,IF(AND(H232&gt;=100,H232&lt;120),'Berechnung-WÜ-Material'!$AO$110,IF(AND('Daten-Materialien'!H232&gt;=120,'Daten-Materialien'!H232&lt;140),'Berechnung-WÜ-Material'!$AP$110,IF('Daten-Materialien'!H232&gt;140,'Berechnung-WÜ-Material'!$AQ$110,"FEHLER"))))))</f>
        <v>2.2063369805171464</v>
      </c>
      <c r="R232" s="241">
        <f>IF(E232&lt;0.1,'Berechnung-WÜ-Material'!$AS$110,IF(AND(E232&gt;=0.1,E232&lt;0.3),'Berechnung-WÜ-Material'!$AT$110,IF(AND('Daten-Materialien'!E232&gt;=0.3,'Daten-Materialien'!E232&lt;0.6),'Berechnung-WÜ-Material'!$AU$110,IF(AND(E232&gt;=0.6,E232&lt;1),'Berechnung-WÜ-Material'!$AV$110,IF(AND('Daten-Materialien'!E232&gt;=1,'Daten-Materialien'!E232&lt;1.5),'Berechnung-WÜ-Material'!$AW$110,IF('Daten-Materialien'!E232&gt;1.5,'Berechnung-WÜ-Material'!$AX$110,"FEHLER"))))))</f>
        <v>3.6900162641574328</v>
      </c>
      <c r="S232" s="241">
        <f>IF(K232&lt;15,'Berechnung-WÜ-Material'!$AZ$110,IF(AND(K232&gt;=15,K232&lt;30),'Berechnung-WÜ-Material'!$BA$110,IF(AND('Daten-Materialien'!K232&gt;=30,'Daten-Materialien'!K232&lt;45),'Berechnung-WÜ-Material'!$BB$110,IF(AND(K232&gt;=45,K232&lt;60),'Berechnung-WÜ-Material'!$BC$110,IF(AND('Daten-Materialien'!K232&gt;=60,'Daten-Materialien'!K232&lt;75),'Berechnung-WÜ-Material'!$BD$110,IF('Daten-Materialien'!K232&gt;75,'Berechnung-WÜ-Material'!$BE$110,"FEHLER"))))))</f>
        <v>2.6681383364247617</v>
      </c>
      <c r="T232" s="241">
        <f>SUM(Q232:S232)+(L232*3*'Berechnung-WÜ-Material'!$G$22)</f>
        <v>8.5644915810993396</v>
      </c>
      <c r="U232" s="241">
        <f t="shared" si="35"/>
        <v>20.60922808068344</v>
      </c>
      <c r="V232" s="241">
        <f>100/'Berechnung-WÜ-Material'!$BF$112*'Daten-Materialien'!T232</f>
        <v>41.805446457426541</v>
      </c>
      <c r="W232" s="241">
        <f t="shared" si="41"/>
        <v>236</v>
      </c>
      <c r="X232" s="241" t="str">
        <f t="shared" si="38"/>
        <v/>
      </c>
      <c r="Y232" s="241">
        <f t="shared" si="39"/>
        <v>4</v>
      </c>
      <c r="Z232" s="241" t="str">
        <f t="shared" si="40"/>
        <v/>
      </c>
      <c r="AB232" s="241" t="s">
        <v>867</v>
      </c>
    </row>
    <row r="233" spans="1:28" ht="39" x14ac:dyDescent="0.25">
      <c r="A233" s="241" t="str">
        <f t="shared" si="36"/>
        <v/>
      </c>
      <c r="B233" s="241" t="s">
        <v>909</v>
      </c>
      <c r="D233" s="339">
        <v>0.05</v>
      </c>
      <c r="E233" s="241">
        <f t="shared" si="37"/>
        <v>0.05</v>
      </c>
      <c r="G233" s="241">
        <v>72</v>
      </c>
      <c r="H233" s="241">
        <f t="shared" si="33"/>
        <v>72</v>
      </c>
      <c r="J233" s="338">
        <v>50</v>
      </c>
      <c r="K233" s="241">
        <f t="shared" si="34"/>
        <v>50</v>
      </c>
      <c r="L233" s="339">
        <v>0</v>
      </c>
      <c r="M233" s="241">
        <f>(1100-1800)/1800*100</f>
        <v>-38.888888888888893</v>
      </c>
      <c r="N233" s="130" t="s">
        <v>802</v>
      </c>
      <c r="Q233" s="241">
        <f>IF(H233&lt;60,'Berechnung-WÜ-Material'!$AL$110,IF(AND(H233&gt;=60,H233&lt;80),'Berechnung-WÜ-Material'!$AM$110,IF(AND('Daten-Materialien'!H233&gt;=80,'Daten-Materialien'!H233&lt;100),'Berechnung-WÜ-Material'!$AN$110,IF(AND(H233&gt;=100,H233&lt;120),'Berechnung-WÜ-Material'!$AO$110,IF(AND('Daten-Materialien'!H233&gt;=120,'Daten-Materialien'!H233&lt;140),'Berechnung-WÜ-Material'!$AP$110,IF('Daten-Materialien'!H233&gt;140,'Berechnung-WÜ-Material'!$AQ$110,"FEHLER"))))))</f>
        <v>1.4830749679207913</v>
      </c>
      <c r="R233" s="241">
        <f>IF(E233&lt;0.1,'Berechnung-WÜ-Material'!$AS$110,IF(AND(E233&gt;=0.1,E233&lt;0.3),'Berechnung-WÜ-Material'!$AT$110,IF(AND('Daten-Materialien'!E233&gt;=0.3,'Daten-Materialien'!E233&lt;0.6),'Berechnung-WÜ-Material'!$AU$110,IF(AND(E233&gt;=0.6,E233&lt;1),'Berechnung-WÜ-Material'!$AV$110,IF(AND('Daten-Materialien'!E233&gt;=1,'Daten-Materialien'!E233&lt;1.5),'Berechnung-WÜ-Material'!$AW$110,IF('Daten-Materialien'!E233&gt;1.5,'Berechnung-WÜ-Material'!$AX$110,"FEHLER"))))))</f>
        <v>5.4090960472347849</v>
      </c>
      <c r="S233" s="241">
        <f>IF(K233&lt;15,'Berechnung-WÜ-Material'!$AZ$110,IF(AND(K233&gt;=15,K233&lt;30),'Berechnung-WÜ-Material'!$BA$110,IF(AND('Daten-Materialien'!K233&gt;=30,'Daten-Materialien'!K233&lt;45),'Berechnung-WÜ-Material'!$BB$110,IF(AND(K233&gt;=45,K233&lt;60),'Berechnung-WÜ-Material'!$BC$110,IF(AND('Daten-Materialien'!K233&gt;=60,'Daten-Materialien'!K233&lt;75),'Berechnung-WÜ-Material'!$BD$110,IF('Daten-Materialien'!K233&gt;75,'Berechnung-WÜ-Material'!$BE$110,"FEHLER"))))))</f>
        <v>2.6681383364247617</v>
      </c>
      <c r="T233" s="241">
        <f>SUM(Q233:S233)+(L233*3*'Berechnung-WÜ-Material'!$G$22)</f>
        <v>9.5603093515803366</v>
      </c>
      <c r="U233" s="241">
        <f t="shared" si="35"/>
        <v>24.297442045722931</v>
      </c>
      <c r="V233" s="241">
        <f>100/'Berechnung-WÜ-Material'!$BF$112*'Daten-Materialien'!T233</f>
        <v>46.666284499123051</v>
      </c>
      <c r="W233" s="241">
        <f t="shared" si="41"/>
        <v>230</v>
      </c>
      <c r="X233" s="241" t="str">
        <f t="shared" si="38"/>
        <v/>
      </c>
      <c r="Y233" s="241">
        <f t="shared" si="39"/>
        <v>4</v>
      </c>
      <c r="Z233" s="241" t="str">
        <f t="shared" si="40"/>
        <v/>
      </c>
      <c r="AB233" s="241" t="s">
        <v>866</v>
      </c>
    </row>
    <row r="234" spans="1:28" ht="39" x14ac:dyDescent="0.25">
      <c r="A234" s="241" t="str">
        <f t="shared" si="36"/>
        <v/>
      </c>
      <c r="B234" s="241" t="s">
        <v>910</v>
      </c>
      <c r="D234" s="339">
        <v>0.05</v>
      </c>
      <c r="E234" s="241">
        <f t="shared" si="37"/>
        <v>0.05</v>
      </c>
      <c r="G234" s="241">
        <v>41.4</v>
      </c>
      <c r="H234" s="241">
        <f t="shared" si="33"/>
        <v>41.4</v>
      </c>
      <c r="J234" s="338">
        <v>50</v>
      </c>
      <c r="K234" s="241">
        <f t="shared" si="34"/>
        <v>50</v>
      </c>
      <c r="L234" s="339">
        <v>0</v>
      </c>
      <c r="M234" s="241">
        <f>(1400-1800)/1800*100</f>
        <v>-22.222222222222221</v>
      </c>
      <c r="N234" s="130" t="s">
        <v>802</v>
      </c>
      <c r="Q234" s="241">
        <f>IF(H234&lt;60,'Berechnung-WÜ-Material'!$AL$110,IF(AND(H234&gt;=60,H234&lt;80),'Berechnung-WÜ-Material'!$AM$110,IF(AND('Daten-Materialien'!H234&gt;=80,'Daten-Materialien'!H234&lt;100),'Berechnung-WÜ-Material'!$AN$110,IF(AND(H234&gt;=100,H234&lt;120),'Berechnung-WÜ-Material'!$AO$110,IF(AND('Daten-Materialien'!H234&gt;=120,'Daten-Materialien'!H234&lt;140),'Berechnung-WÜ-Material'!$AP$110,IF('Daten-Materialien'!H234&gt;140,'Berechnung-WÜ-Material'!$AQ$110,"FEHLER"))))))</f>
        <v>2.2063369805171464</v>
      </c>
      <c r="R234" s="241">
        <f>IF(E234&lt;0.1,'Berechnung-WÜ-Material'!$AS$110,IF(AND(E234&gt;=0.1,E234&lt;0.3),'Berechnung-WÜ-Material'!$AT$110,IF(AND('Daten-Materialien'!E234&gt;=0.3,'Daten-Materialien'!E234&lt;0.6),'Berechnung-WÜ-Material'!$AU$110,IF(AND(E234&gt;=0.6,E234&lt;1),'Berechnung-WÜ-Material'!$AV$110,IF(AND('Daten-Materialien'!E234&gt;=1,'Daten-Materialien'!E234&lt;1.5),'Berechnung-WÜ-Material'!$AW$110,IF('Daten-Materialien'!E234&gt;1.5,'Berechnung-WÜ-Material'!$AX$110,"FEHLER"))))))</f>
        <v>5.4090960472347849</v>
      </c>
      <c r="S234" s="241">
        <f>IF(K234&lt;15,'Berechnung-WÜ-Material'!$AZ$110,IF(AND(K234&gt;=15,K234&lt;30),'Berechnung-WÜ-Material'!$BA$110,IF(AND('Daten-Materialien'!K234&gt;=30,'Daten-Materialien'!K234&lt;45),'Berechnung-WÜ-Material'!$BB$110,IF(AND(K234&gt;=45,K234&lt;60),'Berechnung-WÜ-Material'!$BC$110,IF(AND('Daten-Materialien'!K234&gt;=60,'Daten-Materialien'!K234&lt;75),'Berechnung-WÜ-Material'!$BD$110,IF('Daten-Materialien'!K234&gt;75,'Berechnung-WÜ-Material'!$BE$110,"FEHLER"))))))</f>
        <v>2.6681383364247617</v>
      </c>
      <c r="T234" s="241">
        <f>SUM(Q234:S234)+(L234*3*'Berechnung-WÜ-Material'!$G$22)</f>
        <v>10.283571364176694</v>
      </c>
      <c r="U234" s="241">
        <f t="shared" si="35"/>
        <v>26.976190240738553</v>
      </c>
      <c r="V234" s="241">
        <f>100/'Berechnung-WÜ-Material'!$BF$112*'Daten-Materialien'!T234</f>
        <v>50.196709049836016</v>
      </c>
      <c r="W234" s="241">
        <f t="shared" si="41"/>
        <v>211</v>
      </c>
      <c r="X234" s="241" t="str">
        <f t="shared" si="38"/>
        <v/>
      </c>
      <c r="Y234" s="241">
        <f t="shared" si="39"/>
        <v>4</v>
      </c>
      <c r="Z234" s="241" t="str">
        <f t="shared" si="40"/>
        <v/>
      </c>
      <c r="AB234" s="241" t="s">
        <v>877</v>
      </c>
    </row>
    <row r="235" spans="1:28" ht="115.5" x14ac:dyDescent="0.25">
      <c r="A235" s="241" t="str">
        <f t="shared" si="36"/>
        <v/>
      </c>
      <c r="B235" s="241" t="s">
        <v>911</v>
      </c>
      <c r="D235" s="339">
        <v>2.98</v>
      </c>
      <c r="E235" s="241">
        <f t="shared" si="37"/>
        <v>2.98</v>
      </c>
      <c r="G235" s="241">
        <v>107.6</v>
      </c>
      <c r="H235" s="241">
        <f t="shared" si="33"/>
        <v>107.6</v>
      </c>
      <c r="J235" s="338">
        <v>20</v>
      </c>
      <c r="K235" s="241">
        <f t="shared" si="34"/>
        <v>20</v>
      </c>
      <c r="L235" s="339">
        <v>0</v>
      </c>
      <c r="M235" s="241">
        <f>(510-1800)/1800*100</f>
        <v>-71.666666666666671</v>
      </c>
      <c r="N235" s="130" t="s">
        <v>802</v>
      </c>
      <c r="O235" s="130" t="s">
        <v>803</v>
      </c>
      <c r="Q235" s="241">
        <f>IF(H235&lt;60,'Berechnung-WÜ-Material'!$AL$110,IF(AND(H235&gt;=60,H235&lt;80),'Berechnung-WÜ-Material'!$AM$110,IF(AND('Daten-Materialien'!H235&gt;=80,'Daten-Materialien'!H235&lt;100),'Berechnung-WÜ-Material'!$AN$110,IF(AND(H235&gt;=100,H235&lt;120),'Berechnung-WÜ-Material'!$AO$110,IF(AND('Daten-Materialien'!H235&gt;=120,'Daten-Materialien'!H235&lt;140),'Berechnung-WÜ-Material'!$AP$110,IF('Daten-Materialien'!H235&gt;140,'Berechnung-WÜ-Material'!$AQ$110,"FEHLER"))))))</f>
        <v>3.4064092551223228</v>
      </c>
      <c r="R235" s="241">
        <f>IF(E235&lt;0.1,'Berechnung-WÜ-Material'!$AS$110,IF(AND(E235&gt;=0.1,E235&lt;0.3),'Berechnung-WÜ-Material'!$AT$110,IF(AND('Daten-Materialien'!E235&gt;=0.3,'Daten-Materialien'!E235&lt;0.6),'Berechnung-WÜ-Material'!$AU$110,IF(AND(E235&gt;=0.6,E235&lt;1),'Berechnung-WÜ-Material'!$AV$110,IF(AND('Daten-Materialien'!E235&gt;=1,'Daten-Materialien'!E235&lt;1.5),'Berechnung-WÜ-Material'!$AW$110,IF('Daten-Materialien'!E235&gt;1.5,'Berechnung-WÜ-Material'!$AX$110,"FEHLER"))))))</f>
        <v>5.4606109077360685</v>
      </c>
      <c r="S235" s="241">
        <f>IF(K235&lt;15,'Berechnung-WÜ-Material'!$AZ$110,IF(AND(K235&gt;=15,K235&lt;30),'Berechnung-WÜ-Material'!$BA$110,IF(AND('Daten-Materialien'!K235&gt;=30,'Daten-Materialien'!K235&lt;45),'Berechnung-WÜ-Material'!$BB$110,IF(AND(K235&gt;=45,K235&lt;60),'Berechnung-WÜ-Material'!$BC$110,IF(AND('Daten-Materialien'!K235&gt;=60,'Daten-Materialien'!K235&lt;75),'Berechnung-WÜ-Material'!$BD$110,IF('Daten-Materialien'!K235&gt;75,'Berechnung-WÜ-Material'!$BE$110,"FEHLER"))))))</f>
        <v>5.3164008462907759</v>
      </c>
      <c r="T235" s="241">
        <f>SUM(Q235:S235)+(L235*3*'Berechnung-WÜ-Material'!$G$22)</f>
        <v>14.183421009149168</v>
      </c>
      <c r="U235" s="241">
        <f t="shared" si="35"/>
        <v>41.420077815866193</v>
      </c>
      <c r="V235" s="241">
        <f>100/'Berechnung-WÜ-Material'!$BF$112*'Daten-Materialien'!T235</f>
        <v>69.23286011392328</v>
      </c>
      <c r="W235" s="241">
        <f t="shared" si="41"/>
        <v>126</v>
      </c>
      <c r="X235" s="241" t="str">
        <f t="shared" si="38"/>
        <v/>
      </c>
      <c r="Y235" s="241">
        <f t="shared" si="39"/>
        <v>4</v>
      </c>
      <c r="Z235" s="241" t="str">
        <f t="shared" si="40"/>
        <v/>
      </c>
      <c r="AB235" s="241" t="s">
        <v>878</v>
      </c>
    </row>
    <row r="236" spans="1:28" ht="115.5" x14ac:dyDescent="0.25">
      <c r="A236" s="241" t="str">
        <f t="shared" si="36"/>
        <v/>
      </c>
      <c r="B236" s="241" t="s">
        <v>912</v>
      </c>
      <c r="D236" s="339">
        <v>2.98</v>
      </c>
      <c r="E236" s="241">
        <f t="shared" si="37"/>
        <v>2.98</v>
      </c>
      <c r="G236" s="241">
        <v>76.2</v>
      </c>
      <c r="H236" s="241">
        <f t="shared" si="33"/>
        <v>76.2</v>
      </c>
      <c r="J236" s="338">
        <f>-0.9268*G236+97.59</f>
        <v>26.96784000000001</v>
      </c>
      <c r="K236" s="241">
        <f t="shared" si="34"/>
        <v>26.96784000000001</v>
      </c>
      <c r="L236" s="339">
        <v>0</v>
      </c>
      <c r="M236" s="241">
        <f>(495-1800)/1800*100</f>
        <v>-72.5</v>
      </c>
      <c r="N236" s="130" t="s">
        <v>802</v>
      </c>
      <c r="O236" s="130" t="s">
        <v>803</v>
      </c>
      <c r="Q236" s="241">
        <f>IF(H236&lt;60,'Berechnung-WÜ-Material'!$AL$110,IF(AND(H236&gt;=60,H236&lt;80),'Berechnung-WÜ-Material'!$AM$110,IF(AND('Daten-Materialien'!H236&gt;=80,'Daten-Materialien'!H236&lt;100),'Berechnung-WÜ-Material'!$AN$110,IF(AND(H236&gt;=100,H236&lt;120),'Berechnung-WÜ-Material'!$AO$110,IF(AND('Daten-Materialien'!H236&gt;=120,'Daten-Materialien'!H236&lt;140),'Berechnung-WÜ-Material'!$AP$110,IF('Daten-Materialien'!H236&gt;140,'Berechnung-WÜ-Material'!$AQ$110,"FEHLER"))))))</f>
        <v>1.4830749679207913</v>
      </c>
      <c r="R236" s="241">
        <f>IF(E236&lt;0.1,'Berechnung-WÜ-Material'!$AS$110,IF(AND(E236&gt;=0.1,E236&lt;0.3),'Berechnung-WÜ-Material'!$AT$110,IF(AND('Daten-Materialien'!E236&gt;=0.3,'Daten-Materialien'!E236&lt;0.6),'Berechnung-WÜ-Material'!$AU$110,IF(AND(E236&gt;=0.6,E236&lt;1),'Berechnung-WÜ-Material'!$AV$110,IF(AND('Daten-Materialien'!E236&gt;=1,'Daten-Materialien'!E236&lt;1.5),'Berechnung-WÜ-Material'!$AW$110,IF('Daten-Materialien'!E236&gt;1.5,'Berechnung-WÜ-Material'!$AX$110,"FEHLER"))))))</f>
        <v>5.4606109077360685</v>
      </c>
      <c r="S236" s="241">
        <f>IF(K236&lt;15,'Berechnung-WÜ-Material'!$AZ$110,IF(AND(K236&gt;=15,K236&lt;30),'Berechnung-WÜ-Material'!$BA$110,IF(AND('Daten-Materialien'!K236&gt;=30,'Daten-Materialien'!K236&lt;45),'Berechnung-WÜ-Material'!$BB$110,IF(AND(K236&gt;=45,K236&lt;60),'Berechnung-WÜ-Material'!$BC$110,IF(AND('Daten-Materialien'!K236&gt;=60,'Daten-Materialien'!K236&lt;75),'Berechnung-WÜ-Material'!$BD$110,IF('Daten-Materialien'!K236&gt;75,'Berechnung-WÜ-Material'!$BE$110,"FEHLER"))))))</f>
        <v>5.3164008462907759</v>
      </c>
      <c r="T236" s="241">
        <f>SUM(Q236:S236)+(L236*3*'Berechnung-WÜ-Material'!$G$22)</f>
        <v>12.260086721947635</v>
      </c>
      <c r="U236" s="241">
        <f t="shared" si="35"/>
        <v>34.296617492327677</v>
      </c>
      <c r="V236" s="241">
        <f>100/'Berechnung-WÜ-Material'!$BF$112*'Daten-Materialien'!T236</f>
        <v>59.844579700316359</v>
      </c>
      <c r="W236" s="241">
        <f t="shared" si="41"/>
        <v>193</v>
      </c>
      <c r="X236" s="241" t="str">
        <f t="shared" si="38"/>
        <v/>
      </c>
      <c r="Y236" s="241">
        <f t="shared" si="39"/>
        <v>4</v>
      </c>
      <c r="Z236" s="241" t="str">
        <f t="shared" si="40"/>
        <v/>
      </c>
      <c r="AB236" s="241" t="s">
        <v>864</v>
      </c>
    </row>
    <row r="237" spans="1:28" ht="115.5" x14ac:dyDescent="0.25">
      <c r="A237" s="241" t="str">
        <f t="shared" si="36"/>
        <v/>
      </c>
      <c r="B237" s="241" t="s">
        <v>913</v>
      </c>
      <c r="D237" s="339">
        <v>0.09</v>
      </c>
      <c r="E237" s="241">
        <f t="shared" si="37"/>
        <v>0.09</v>
      </c>
      <c r="G237" s="241">
        <v>96.8</v>
      </c>
      <c r="H237" s="241">
        <f t="shared" si="33"/>
        <v>96.8</v>
      </c>
      <c r="J237" s="338">
        <v>20</v>
      </c>
      <c r="K237" s="241">
        <f t="shared" si="34"/>
        <v>20</v>
      </c>
      <c r="L237" s="339">
        <v>0</v>
      </c>
      <c r="M237" s="241">
        <f>(20-1800)/1800*100</f>
        <v>-98.888888888888886</v>
      </c>
      <c r="N237" s="130" t="s">
        <v>802</v>
      </c>
      <c r="O237" s="130" t="s">
        <v>803</v>
      </c>
      <c r="Q237" s="241">
        <f>IF(H237&lt;60,'Berechnung-WÜ-Material'!$AL$110,IF(AND(H237&gt;=60,H237&lt;80),'Berechnung-WÜ-Material'!$AM$110,IF(AND('Daten-Materialien'!H237&gt;=80,'Daten-Materialien'!H237&lt;100),'Berechnung-WÜ-Material'!$AN$110,IF(AND(H237&gt;=100,H237&lt;120),'Berechnung-WÜ-Material'!$AO$110,IF(AND('Daten-Materialien'!H237&gt;=120,'Daten-Materialien'!H237&lt;140),'Berechnung-WÜ-Material'!$AP$110,IF('Daten-Materialien'!H237&gt;140,'Berechnung-WÜ-Material'!$AQ$110,"FEHLER"))))))</f>
        <v>2.9517194566014666</v>
      </c>
      <c r="R237" s="241">
        <f>IF(E237&lt;0.1,'Berechnung-WÜ-Material'!$AS$110,IF(AND(E237&gt;=0.1,E237&lt;0.3),'Berechnung-WÜ-Material'!$AT$110,IF(AND('Daten-Materialien'!E237&gt;=0.3,'Daten-Materialien'!E237&lt;0.6),'Berechnung-WÜ-Material'!$AU$110,IF(AND(E237&gt;=0.6,E237&lt;1),'Berechnung-WÜ-Material'!$AV$110,IF(AND('Daten-Materialien'!E237&gt;=1,'Daten-Materialien'!E237&lt;1.5),'Berechnung-WÜ-Material'!$AW$110,IF('Daten-Materialien'!E237&gt;1.5,'Berechnung-WÜ-Material'!$AX$110,"FEHLER"))))))</f>
        <v>5.4090960472347849</v>
      </c>
      <c r="S237" s="241">
        <f>IF(K237&lt;15,'Berechnung-WÜ-Material'!$AZ$110,IF(AND(K237&gt;=15,K237&lt;30),'Berechnung-WÜ-Material'!$BA$110,IF(AND('Daten-Materialien'!K237&gt;=30,'Daten-Materialien'!K237&lt;45),'Berechnung-WÜ-Material'!$BB$110,IF(AND(K237&gt;=45,K237&lt;60),'Berechnung-WÜ-Material'!$BC$110,IF(AND('Daten-Materialien'!K237&gt;=60,'Daten-Materialien'!K237&lt;75),'Berechnung-WÜ-Material'!$BD$110,IF('Daten-Materialien'!K237&gt;75,'Berechnung-WÜ-Material'!$BE$110,"FEHLER"))))))</f>
        <v>5.3164008462907759</v>
      </c>
      <c r="T237" s="241">
        <f>SUM(Q237:S237)+(L237*3*'Berechnung-WÜ-Material'!$G$22)</f>
        <v>13.677216350127027</v>
      </c>
      <c r="U237" s="241">
        <f t="shared" si="35"/>
        <v>39.545245745263834</v>
      </c>
      <c r="V237" s="241">
        <f>100/'Berechnung-WÜ-Material'!$BF$112*'Daten-Materialien'!T237</f>
        <v>66.761947326064188</v>
      </c>
      <c r="W237" s="241">
        <f t="shared" si="41"/>
        <v>145</v>
      </c>
      <c r="X237" s="241" t="str">
        <f t="shared" si="38"/>
        <v/>
      </c>
      <c r="Y237" s="241">
        <f t="shared" si="39"/>
        <v>4</v>
      </c>
      <c r="Z237" s="241" t="str">
        <f t="shared" si="40"/>
        <v/>
      </c>
      <c r="AB237" s="241" t="s">
        <v>643</v>
      </c>
    </row>
    <row r="238" spans="1:28" ht="115.5" x14ac:dyDescent="0.25">
      <c r="A238" s="241" t="str">
        <f t="shared" si="36"/>
        <v/>
      </c>
      <c r="B238" s="241" t="s">
        <v>914</v>
      </c>
      <c r="D238" s="339">
        <v>0.09</v>
      </c>
      <c r="E238" s="241">
        <f t="shared" si="37"/>
        <v>0.09</v>
      </c>
      <c r="G238" s="241">
        <v>65.2</v>
      </c>
      <c r="H238" s="241">
        <f t="shared" si="33"/>
        <v>65.2</v>
      </c>
      <c r="J238" s="338">
        <f>-0.9268*G238+97.59</f>
        <v>37.162640000000003</v>
      </c>
      <c r="K238" s="241">
        <f t="shared" si="34"/>
        <v>37.162640000000003</v>
      </c>
      <c r="L238" s="339">
        <v>0</v>
      </c>
      <c r="M238" s="241">
        <f>(100-1800)/1800*100</f>
        <v>-94.444444444444443</v>
      </c>
      <c r="N238" s="130" t="s">
        <v>802</v>
      </c>
      <c r="O238" s="130" t="s">
        <v>803</v>
      </c>
      <c r="Q238" s="241">
        <f>IF(H238&lt;60,'Berechnung-WÜ-Material'!$AL$110,IF(AND(H238&gt;=60,H238&lt;80),'Berechnung-WÜ-Material'!$AM$110,IF(AND('Daten-Materialien'!H238&gt;=80,'Daten-Materialien'!H238&lt;100),'Berechnung-WÜ-Material'!$AN$110,IF(AND(H238&gt;=100,H238&lt;120),'Berechnung-WÜ-Material'!$AO$110,IF(AND('Daten-Materialien'!H238&gt;=120,'Daten-Materialien'!H238&lt;140),'Berechnung-WÜ-Material'!$AP$110,IF('Daten-Materialien'!H238&gt;140,'Berechnung-WÜ-Material'!$AQ$110,"FEHLER"))))))</f>
        <v>1.4830749679207913</v>
      </c>
      <c r="R238" s="241">
        <f>IF(E238&lt;0.1,'Berechnung-WÜ-Material'!$AS$110,IF(AND(E238&gt;=0.1,E238&lt;0.3),'Berechnung-WÜ-Material'!$AT$110,IF(AND('Daten-Materialien'!E238&gt;=0.3,'Daten-Materialien'!E238&lt;0.6),'Berechnung-WÜ-Material'!$AU$110,IF(AND(E238&gt;=0.6,E238&lt;1),'Berechnung-WÜ-Material'!$AV$110,IF(AND('Daten-Materialien'!E238&gt;=1,'Daten-Materialien'!E238&lt;1.5),'Berechnung-WÜ-Material'!$AW$110,IF('Daten-Materialien'!E238&gt;1.5,'Berechnung-WÜ-Material'!$AX$110,"FEHLER"))))))</f>
        <v>5.4090960472347849</v>
      </c>
      <c r="S238" s="241">
        <f>IF(K238&lt;15,'Berechnung-WÜ-Material'!$AZ$110,IF(AND(K238&gt;=15,K238&lt;30),'Berechnung-WÜ-Material'!$BA$110,IF(AND('Daten-Materialien'!K238&gt;=30,'Daten-Materialien'!K238&lt;45),'Berechnung-WÜ-Material'!$BB$110,IF(AND(K238&gt;=45,K238&lt;60),'Berechnung-WÜ-Material'!$BC$110,IF(AND('Daten-Materialien'!K238&gt;=60,'Daten-Materialien'!K238&lt;75),'Berechnung-WÜ-Material'!$BD$110,IF('Daten-Materialien'!K238&gt;75,'Berechnung-WÜ-Material'!$BE$110,"FEHLER"))))))</f>
        <v>5.9436257603083487</v>
      </c>
      <c r="T238" s="241">
        <f>SUM(Q238:S238)+(L238*3*'Berechnung-WÜ-Material'!$G$22)</f>
        <v>12.835796775463924</v>
      </c>
      <c r="U238" s="241">
        <f t="shared" si="35"/>
        <v>36.428876949965996</v>
      </c>
      <c r="V238" s="241">
        <f>100/'Berechnung-WÜ-Material'!$BF$112*'Daten-Materialien'!T238</f>
        <v>62.65476587300077</v>
      </c>
      <c r="W238" s="241">
        <f t="shared" si="41"/>
        <v>169</v>
      </c>
      <c r="X238" s="241" t="str">
        <f t="shared" si="38"/>
        <v/>
      </c>
      <c r="Y238" s="241">
        <f t="shared" si="39"/>
        <v>4</v>
      </c>
      <c r="Z238" s="241" t="str">
        <f t="shared" si="40"/>
        <v/>
      </c>
      <c r="AB238" s="241" t="s">
        <v>758</v>
      </c>
    </row>
    <row r="239" spans="1:28" ht="15" x14ac:dyDescent="0.25">
      <c r="L239" s="339"/>
    </row>
  </sheetData>
  <sheetProtection algorithmName="SHA-512" hashValue="U5S4v02FGQnRlpBbm1zq9EWy1nH7rfKy0PyQ0uDp0cRjr22uE+1B+aa1QSove3le05ijmwie1V629ePHB1WVFA==" saltValue="vBt8gVglfqbMBN/FYZjAOQ==" spinCount="100000" sheet="1" objects="1" scenarios="1"/>
  <sortState xmlns:xlrd2="http://schemas.microsoft.com/office/spreadsheetml/2017/richdata2" ref="AB2:AB238">
    <sortCondition ref="AB2:AB238"/>
  </sortState>
  <hyperlinks>
    <hyperlink ref="O140" r:id="rId1" xr:uid="{386C2A83-1748-4E3C-B39A-D350D9BE4E34}"/>
  </hyperlinks>
  <pageMargins left="0.7" right="0.7" top="0.78740157499999996" bottom="0.78740157499999996" header="0.3" footer="0.3"/>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EC729-1562-4082-909A-B341D4BFE705}">
  <sheetPr>
    <tabColor theme="5" tint="0.79998168889431442"/>
  </sheetPr>
  <dimension ref="A1:J33"/>
  <sheetViews>
    <sheetView zoomScaleNormal="100" workbookViewId="0">
      <selection activeCell="Q67" sqref="Q67"/>
    </sheetView>
  </sheetViews>
  <sheetFormatPr baseColWidth="10" defaultRowHeight="12.75" x14ac:dyDescent="0.2"/>
  <sheetData>
    <row r="1" spans="1:10" x14ac:dyDescent="0.2">
      <c r="A1" s="241" t="s">
        <v>236</v>
      </c>
    </row>
    <row r="2" spans="1:10" x14ac:dyDescent="0.2">
      <c r="A2" s="241" t="s">
        <v>238</v>
      </c>
    </row>
    <row r="3" spans="1:10" x14ac:dyDescent="0.2">
      <c r="A3" s="241" t="s">
        <v>1047</v>
      </c>
    </row>
    <row r="4" spans="1:10" x14ac:dyDescent="0.2">
      <c r="A4" s="241" t="s">
        <v>1048</v>
      </c>
      <c r="E4" t="s">
        <v>135</v>
      </c>
      <c r="F4" t="s">
        <v>62</v>
      </c>
      <c r="G4" t="s">
        <v>136</v>
      </c>
      <c r="H4" t="s">
        <v>137</v>
      </c>
    </row>
    <row r="5" spans="1:10" x14ac:dyDescent="0.2">
      <c r="A5" s="241" t="s">
        <v>239</v>
      </c>
      <c r="C5" t="s">
        <v>236</v>
      </c>
      <c r="E5">
        <v>0.35699999999999998</v>
      </c>
      <c r="F5">
        <f>0.06+0.03175</f>
        <v>9.1749999999999998E-2</v>
      </c>
      <c r="G5" s="102">
        <v>8.9999999999999993E-3</v>
      </c>
      <c r="H5">
        <v>1.1999999999999999E-3</v>
      </c>
      <c r="J5" s="164" t="s">
        <v>237</v>
      </c>
    </row>
    <row r="6" spans="1:10" x14ac:dyDescent="0.2">
      <c r="A6" s="241" t="s">
        <v>247</v>
      </c>
      <c r="C6" t="s">
        <v>238</v>
      </c>
      <c r="E6">
        <v>0.29799999999999999</v>
      </c>
      <c r="F6">
        <f>0.05+0.01905</f>
        <v>6.905E-2</v>
      </c>
      <c r="G6" s="102">
        <v>8.9999999999999993E-3</v>
      </c>
      <c r="H6">
        <v>1.1999999999999999E-3</v>
      </c>
      <c r="J6" s="164" t="s">
        <v>241</v>
      </c>
    </row>
    <row r="7" spans="1:10" x14ac:dyDescent="0.2">
      <c r="A7" s="241" t="s">
        <v>242</v>
      </c>
      <c r="C7" t="s">
        <v>239</v>
      </c>
      <c r="E7">
        <v>0.66800000000000004</v>
      </c>
      <c r="F7">
        <f>0.06+0.03175</f>
        <v>9.1749999999999998E-2</v>
      </c>
      <c r="G7" s="102">
        <v>8.9999999999999993E-3</v>
      </c>
      <c r="H7">
        <v>8.9999999999999998E-4</v>
      </c>
      <c r="J7" s="164" t="s">
        <v>240</v>
      </c>
    </row>
    <row r="8" spans="1:10" x14ac:dyDescent="0.2">
      <c r="A8" s="241" t="s">
        <v>245</v>
      </c>
      <c r="C8" t="s">
        <v>1047</v>
      </c>
      <c r="E8">
        <v>2.7109999999999999</v>
      </c>
      <c r="F8">
        <v>0.94199999999999995</v>
      </c>
      <c r="G8" s="102">
        <v>8.9999999999999993E-3</v>
      </c>
      <c r="H8">
        <v>1E-3</v>
      </c>
    </row>
    <row r="9" spans="1:10" x14ac:dyDescent="0.2">
      <c r="A9" s="241" t="s">
        <v>246</v>
      </c>
      <c r="C9" s="241" t="s">
        <v>1048</v>
      </c>
      <c r="E9">
        <v>2.37</v>
      </c>
      <c r="F9">
        <v>0.92</v>
      </c>
      <c r="G9" s="102">
        <v>8.9999999999999993E-3</v>
      </c>
      <c r="H9" s="241">
        <v>1E-3</v>
      </c>
    </row>
    <row r="10" spans="1:10" x14ac:dyDescent="0.2">
      <c r="A10" s="241" t="s">
        <v>255</v>
      </c>
      <c r="C10" t="s">
        <v>245</v>
      </c>
      <c r="E10">
        <v>0.35699999999999998</v>
      </c>
      <c r="F10">
        <f>0.06+0.03175</f>
        <v>9.1749999999999998E-2</v>
      </c>
      <c r="G10" s="102">
        <v>8.9999999999999993E-3</v>
      </c>
      <c r="H10">
        <v>1.1999999999999999E-3</v>
      </c>
      <c r="J10" s="164" t="s">
        <v>248</v>
      </c>
    </row>
    <row r="11" spans="1:10" x14ac:dyDescent="0.2">
      <c r="A11" s="241" t="s">
        <v>243</v>
      </c>
      <c r="C11" t="s">
        <v>246</v>
      </c>
      <c r="E11">
        <v>0.64</v>
      </c>
      <c r="F11">
        <f>0.14+0.03175</f>
        <v>0.17175000000000001</v>
      </c>
      <c r="G11" s="102">
        <v>8.9999999999999993E-3</v>
      </c>
      <c r="H11">
        <v>1E-3</v>
      </c>
      <c r="J11" s="164" t="s">
        <v>249</v>
      </c>
    </row>
    <row r="12" spans="1:10" x14ac:dyDescent="0.2">
      <c r="A12" s="241" t="s">
        <v>251</v>
      </c>
      <c r="C12" t="s">
        <v>247</v>
      </c>
      <c r="E12">
        <v>0.71899999999999997</v>
      </c>
      <c r="F12">
        <f>0.223+0.03175</f>
        <v>0.25475000000000003</v>
      </c>
      <c r="G12" s="102">
        <v>8.9999999999999993E-3</v>
      </c>
      <c r="H12">
        <v>1.2999999999999999E-3</v>
      </c>
      <c r="J12" s="164" t="s">
        <v>250</v>
      </c>
    </row>
    <row r="13" spans="1:10" x14ac:dyDescent="0.2">
      <c r="A13" s="241" t="s">
        <v>253</v>
      </c>
      <c r="C13" t="s">
        <v>242</v>
      </c>
      <c r="E13">
        <v>1.3380000000000001</v>
      </c>
      <c r="F13">
        <f>0.218+0.03175</f>
        <v>0.24975</v>
      </c>
      <c r="G13" s="102">
        <v>8.9999999999999993E-3</v>
      </c>
      <c r="H13">
        <v>1E-3</v>
      </c>
      <c r="J13" s="164" t="s">
        <v>244</v>
      </c>
    </row>
    <row r="14" spans="1:10" x14ac:dyDescent="0.2">
      <c r="A14" s="241" t="s">
        <v>260</v>
      </c>
      <c r="C14" t="s">
        <v>251</v>
      </c>
      <c r="E14">
        <v>0.85899999999999999</v>
      </c>
      <c r="F14">
        <f>0.129+0.03175</f>
        <v>0.16075</v>
      </c>
      <c r="G14" s="102">
        <v>8.9999999999999993E-3</v>
      </c>
      <c r="H14">
        <v>2E-3</v>
      </c>
      <c r="J14" s="164" t="s">
        <v>252</v>
      </c>
    </row>
    <row r="15" spans="1:10" x14ac:dyDescent="0.2">
      <c r="A15" s="241" t="s">
        <v>263</v>
      </c>
      <c r="C15" t="s">
        <v>253</v>
      </c>
      <c r="E15">
        <v>1.095</v>
      </c>
      <c r="F15">
        <f>0.22+0.03175</f>
        <v>0.25175000000000003</v>
      </c>
      <c r="G15" s="102">
        <v>8.9999999999999993E-3</v>
      </c>
      <c r="H15">
        <v>2E-3</v>
      </c>
      <c r="J15" s="164" t="s">
        <v>254</v>
      </c>
    </row>
    <row r="16" spans="1:10" x14ac:dyDescent="0.2">
      <c r="A16" s="241" t="s">
        <v>262</v>
      </c>
      <c r="C16" t="s">
        <v>255</v>
      </c>
      <c r="E16">
        <v>1.3240000000000001</v>
      </c>
      <c r="F16">
        <f>0.324+0.03175</f>
        <v>0.35575000000000001</v>
      </c>
      <c r="G16" s="102">
        <v>8.9999999999999993E-3</v>
      </c>
      <c r="H16">
        <v>2E-3</v>
      </c>
      <c r="J16" s="164" t="s">
        <v>256</v>
      </c>
    </row>
    <row r="17" spans="1:10" x14ac:dyDescent="0.2">
      <c r="A17" s="241" t="s">
        <v>258</v>
      </c>
      <c r="C17" t="s">
        <v>243</v>
      </c>
      <c r="E17">
        <v>1.524</v>
      </c>
      <c r="F17">
        <f>0.4+0.03175</f>
        <v>0.43175000000000002</v>
      </c>
      <c r="G17" s="102">
        <v>8.9999999999999993E-3</v>
      </c>
      <c r="H17">
        <v>2E-3</v>
      </c>
      <c r="J17" s="164" t="s">
        <v>257</v>
      </c>
    </row>
    <row r="18" spans="1:10" x14ac:dyDescent="0.2">
      <c r="A18" s="104" t="s">
        <v>133</v>
      </c>
      <c r="C18" t="s">
        <v>258</v>
      </c>
      <c r="E18">
        <v>1.095</v>
      </c>
      <c r="F18">
        <f>0.22+0.03175</f>
        <v>0.25175000000000003</v>
      </c>
      <c r="G18" s="102">
        <v>8.9999999999999993E-3</v>
      </c>
      <c r="H18">
        <f>0.0075/2</f>
        <v>3.7499999999999999E-3</v>
      </c>
      <c r="J18" s="164" t="s">
        <v>259</v>
      </c>
    </row>
    <row r="19" spans="1:10" x14ac:dyDescent="0.2">
      <c r="A19" s="104" t="s">
        <v>134</v>
      </c>
      <c r="C19" t="s">
        <v>260</v>
      </c>
      <c r="E19">
        <v>1.5649999999999999</v>
      </c>
      <c r="F19">
        <f>0.315+0.03175</f>
        <v>0.34675</v>
      </c>
      <c r="G19" s="102">
        <v>8.9999999999999993E-3</v>
      </c>
      <c r="H19">
        <v>1.6000000000000001E-3</v>
      </c>
      <c r="J19" s="164" t="s">
        <v>261</v>
      </c>
    </row>
    <row r="20" spans="1:10" x14ac:dyDescent="0.2">
      <c r="A20" s="104" t="s">
        <v>1053</v>
      </c>
      <c r="C20" t="s">
        <v>262</v>
      </c>
      <c r="E20">
        <v>1.095</v>
      </c>
      <c r="F20">
        <f>0.22+0.03175</f>
        <v>0.25175000000000003</v>
      </c>
      <c r="G20" s="102">
        <v>8.9999999999999993E-3</v>
      </c>
      <c r="H20">
        <v>2E-3</v>
      </c>
      <c r="J20" s="164" t="s">
        <v>264</v>
      </c>
    </row>
    <row r="21" spans="1:10" x14ac:dyDescent="0.2">
      <c r="A21" s="104" t="s">
        <v>1054</v>
      </c>
      <c r="C21" t="s">
        <v>263</v>
      </c>
      <c r="E21">
        <v>0.53</v>
      </c>
      <c r="F21">
        <f>0.11+0.03175</f>
        <v>0.14174999999999999</v>
      </c>
      <c r="G21" s="102">
        <v>8.9999999999999993E-3</v>
      </c>
      <c r="H21">
        <v>1.5E-3</v>
      </c>
      <c r="J21" s="164" t="s">
        <v>265</v>
      </c>
    </row>
    <row r="22" spans="1:10" x14ac:dyDescent="0.2">
      <c r="A22" s="104" t="s">
        <v>1049</v>
      </c>
      <c r="C22" s="104" t="s">
        <v>133</v>
      </c>
      <c r="D22" s="104"/>
      <c r="E22">
        <v>0.38100000000000001</v>
      </c>
      <c r="F22">
        <v>0.107</v>
      </c>
      <c r="G22">
        <v>8.9999999999999993E-3</v>
      </c>
      <c r="H22">
        <v>1.2999999999999999E-3</v>
      </c>
    </row>
    <row r="23" spans="1:10" x14ac:dyDescent="0.2">
      <c r="A23" s="104" t="s">
        <v>1050</v>
      </c>
      <c r="C23" s="104" t="s">
        <v>134</v>
      </c>
      <c r="D23" s="104"/>
      <c r="E23">
        <v>0.64300000000000002</v>
      </c>
      <c r="F23">
        <v>0.10050000000000001</v>
      </c>
      <c r="G23">
        <v>6.0000000000000001E-3</v>
      </c>
      <c r="H23">
        <v>8.4999999999999995E-4</v>
      </c>
    </row>
    <row r="24" spans="1:10" x14ac:dyDescent="0.2">
      <c r="A24" s="104" t="s">
        <v>1051</v>
      </c>
      <c r="C24" s="104" t="s">
        <v>1049</v>
      </c>
      <c r="E24">
        <v>0.33300000000000002</v>
      </c>
      <c r="F24">
        <v>0.33300000000000002</v>
      </c>
      <c r="G24" s="102">
        <v>8.9999999999999993E-3</v>
      </c>
      <c r="H24" s="102">
        <v>1E-3</v>
      </c>
    </row>
    <row r="25" spans="1:10" x14ac:dyDescent="0.2">
      <c r="A25" s="104" t="s">
        <v>1052</v>
      </c>
      <c r="C25" s="104" t="s">
        <v>1050</v>
      </c>
      <c r="E25">
        <v>0.496</v>
      </c>
      <c r="F25" s="241">
        <v>0.496</v>
      </c>
      <c r="G25" s="102">
        <v>8.9999999999999993E-3</v>
      </c>
      <c r="H25" s="102">
        <v>1E-3</v>
      </c>
    </row>
    <row r="26" spans="1:10" x14ac:dyDescent="0.2">
      <c r="A26" s="104" t="s">
        <v>1056</v>
      </c>
      <c r="C26" s="104" t="s">
        <v>1051</v>
      </c>
      <c r="E26">
        <v>0.76200000000000001</v>
      </c>
      <c r="F26" s="241">
        <v>0.76200000000000001</v>
      </c>
      <c r="G26" s="102">
        <v>8.9999999999999993E-3</v>
      </c>
      <c r="H26" s="102">
        <v>1E-3</v>
      </c>
    </row>
    <row r="27" spans="1:10" x14ac:dyDescent="0.2">
      <c r="A27" s="104" t="s">
        <v>1057</v>
      </c>
      <c r="C27" s="104" t="s">
        <v>1052</v>
      </c>
      <c r="E27">
        <v>1.2190000000000001</v>
      </c>
      <c r="F27" s="241">
        <v>1.2190000000000001</v>
      </c>
      <c r="G27" s="102">
        <v>8.9999999999999993E-3</v>
      </c>
      <c r="H27" s="102">
        <v>1E-3</v>
      </c>
    </row>
    <row r="28" spans="1:10" x14ac:dyDescent="0.2">
      <c r="A28" s="104" t="s">
        <v>1055</v>
      </c>
      <c r="C28" s="104" t="s">
        <v>1053</v>
      </c>
      <c r="E28">
        <v>2.1429999999999998</v>
      </c>
      <c r="F28">
        <v>0.45</v>
      </c>
      <c r="G28" s="102">
        <v>8.9999999999999993E-3</v>
      </c>
      <c r="H28" s="102">
        <v>1E-3</v>
      </c>
    </row>
    <row r="29" spans="1:10" ht="12" customHeight="1" x14ac:dyDescent="0.2">
      <c r="A29" s="241" t="s">
        <v>138</v>
      </c>
      <c r="C29" s="104" t="s">
        <v>1054</v>
      </c>
      <c r="E29">
        <v>2.198</v>
      </c>
      <c r="F29">
        <v>0.58799999999999997</v>
      </c>
      <c r="G29" s="102">
        <v>8.9999999999999993E-3</v>
      </c>
      <c r="H29" s="102">
        <v>1E-3</v>
      </c>
    </row>
    <row r="30" spans="1:10" x14ac:dyDescent="0.2">
      <c r="C30" s="104" t="s">
        <v>1055</v>
      </c>
      <c r="E30">
        <v>2.1930000000000001</v>
      </c>
      <c r="F30">
        <v>0.78700000000000003</v>
      </c>
      <c r="G30" s="102">
        <v>8.9999999999999993E-3</v>
      </c>
      <c r="H30" s="102">
        <v>1E-3</v>
      </c>
    </row>
    <row r="31" spans="1:10" x14ac:dyDescent="0.2">
      <c r="C31" s="104" t="s">
        <v>1056</v>
      </c>
      <c r="E31">
        <v>1.143</v>
      </c>
      <c r="F31">
        <v>0.45</v>
      </c>
      <c r="G31" s="102">
        <v>8.9999999999999993E-3</v>
      </c>
      <c r="H31" s="102">
        <v>1E-3</v>
      </c>
    </row>
    <row r="32" spans="1:10" x14ac:dyDescent="0.2">
      <c r="C32" s="104" t="s">
        <v>1057</v>
      </c>
      <c r="E32">
        <v>1.1452</v>
      </c>
      <c r="F32">
        <v>0.78700000000000003</v>
      </c>
      <c r="G32" s="102">
        <v>8.9999999999999993E-3</v>
      </c>
      <c r="H32" s="102">
        <v>1E-3</v>
      </c>
    </row>
    <row r="33" spans="3:8" x14ac:dyDescent="0.2">
      <c r="C33" t="s">
        <v>138</v>
      </c>
      <c r="E33">
        <f>Eingabe!D7</f>
        <v>2.8</v>
      </c>
      <c r="F33">
        <f>Eingabe!D8</f>
        <v>0.3</v>
      </c>
      <c r="G33">
        <f>Eingabe!D9</f>
        <v>8.9999999999999993E-3</v>
      </c>
      <c r="H33">
        <f>Eingabe!D10</f>
        <v>1.2999999999999999E-3</v>
      </c>
    </row>
  </sheetData>
  <sheetProtection algorithmName="SHA-512" hashValue="451Fk7NGG0VFQJG/kxU4Vr8PDeq8FMqTTrKQehwUdkixvHWUlnlHaiwVlVhDU1qtF1P9nxjpVlp1I/QYb0znsw==" saltValue="ziBMoy0hxJKsFEhcl4srFg==" spinCount="100000" sheet="1" objects="1" scenarios="1"/>
  <sortState xmlns:xlrd2="http://schemas.microsoft.com/office/spreadsheetml/2017/richdata2" ref="A1:A29">
    <sortCondition ref="A1:A29"/>
  </sortState>
  <phoneticPr fontId="21" type="noConversion"/>
  <hyperlinks>
    <hyperlink ref="J5" r:id="rId1" display="https://assets.alfalaval.com/documents/pd680331d/alfa-laval-aq1-product-leaflet-de.pdf" xr:uid="{8C8A0F5C-70DD-46FF-882C-B0149650FC8A}"/>
    <hyperlink ref="J7" r:id="rId2" display="https://assets.alfalaval.com/documents/p9bb66d19/alfa-laval-aq1l-product-leaflet-de.pdf" xr:uid="{C5E27BC0-2A9A-4A98-9E90-A10C39A01597}"/>
    <hyperlink ref="J6" r:id="rId3" display="https://assets.alfalaval.com/documents/pb4045041/alfa-laval-aq1a-product-leaflet-de.pdf" xr:uid="{0A41B5CA-E526-4C0C-AF91-893127307FD8}"/>
    <hyperlink ref="J13" r:id="rId4" display="https://assets.alfalaval.com/documents/p7bfcd2a1/alfa-laval-base-11-product-leaflet-de.pdf" xr:uid="{1FED26B8-0208-4209-B7C0-FC57CC68C4EA}"/>
    <hyperlink ref="J10" r:id="rId5" display="https://assets.alfalaval.com/documents/pd0ff28c8/alfa-laval-base-3-product-leaflet-de.pdf" xr:uid="{19A45F4F-4B92-45FE-8DC9-5FA7ED731B2C}"/>
    <hyperlink ref="J11" r:id="rId6" display="https://assets.alfalaval.com/documents/p3e2d6f1d/alfa-laval-base-6-product-leaflet-de.pdf" xr:uid="{0614ADA7-3DBE-4AB8-876D-AA546062B964}"/>
    <hyperlink ref="J12" r:id="rId7" display="https://assets.alfalaval.com/documents/p16c3248d/alfa-laval-base-10-product-leaflet-de.pdf" xr:uid="{91C09918-7012-4F82-9E94-27F9EEC012DC}"/>
    <hyperlink ref="J14" r:id="rId8" display="https://assets.alfalaval.com/documents/p90bba538/alfa-laval-front-6-product-leaflet-de.pdf" xr:uid="{A15137EF-823C-48FA-AA62-4D8F430F94EA}"/>
    <hyperlink ref="J15" r:id="rId9" display="https://assets.alfalaval.com/documents/pb75fa02d/alfa-laval-front-8-product-leaflet-de.pdf" xr:uid="{2BE3603B-9B78-4641-9BA9-EB948E8316A4}"/>
    <hyperlink ref="J16" r:id="rId10" display="https://assets.alfalaval.com/documents/p660badf/alfa-laval-front-10-product-leaflet-de.pdf" xr:uid="{A76CF829-B1B8-4E02-BC6E-FA44550392BC}"/>
    <hyperlink ref="J17" r:id="rId11" display="https://assets.alfalaval.com/documents/p42dd1e47/alfa-laval-front-15-product-leaflet-de.pdf" xr:uid="{450B01BC-E422-464A-833F-76F3B9C0F780}"/>
    <hyperlink ref="J18" r:id="rId12" display="https://assets.alfalaval.com/documents/p1fb839ed/alfa-laval-hl8-wg-product-leaflet-de-de.pdf" xr:uid="{00228A7F-DEE6-4379-974A-4351C781FE5F}"/>
    <hyperlink ref="J19" r:id="rId13" display="https://assets.alfalaval.com/documents/pf0bdb141/alfa-laval-hl12-product-leaflet-de-de.pdf" xr:uid="{AB3F3D44-3BC8-45B6-B73E-6E40CE5BF8ED}"/>
    <hyperlink ref="J20" r:id="rId14" display="https://assets.alfalaval.com/documents/paa94fe2f/alfa-laval-hl8-product-leaflet-de-de.pdf" xr:uid="{E0E1CF10-46F6-4034-A70E-5027F3A3173F}"/>
    <hyperlink ref="J21" r:id="rId15" display="https://assets.alfalaval.com/documents/peb02769d/alfa-laval-h4-product-leaflet-de.pdf" xr:uid="{81D9E371-4159-4E72-80EE-CA4E8681D10E}"/>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904B-F9C2-415A-9054-D87BD14A2905}">
  <sheetPr>
    <tabColor theme="5" tint="0.79998168889431442"/>
  </sheetPr>
  <dimension ref="A1:UT86"/>
  <sheetViews>
    <sheetView zoomScale="110" zoomScaleNormal="110" workbookViewId="0">
      <selection activeCell="Q67" sqref="Q67"/>
    </sheetView>
  </sheetViews>
  <sheetFormatPr baseColWidth="10" defaultRowHeight="12.75" x14ac:dyDescent="0.2"/>
  <cols>
    <col min="1" max="9" width="11.28515625" bestFit="1" customWidth="1"/>
    <col min="10" max="21" width="12.28515625" bestFit="1" customWidth="1"/>
  </cols>
  <sheetData>
    <row r="1" spans="1:566" x14ac:dyDescent="0.2">
      <c r="B1" t="s">
        <v>125</v>
      </c>
      <c r="D1">
        <v>31.998799999999999</v>
      </c>
      <c r="E1" t="s">
        <v>126</v>
      </c>
      <c r="F1" t="s">
        <v>127</v>
      </c>
      <c r="H1">
        <v>18.015280000000001</v>
      </c>
      <c r="I1" t="s">
        <v>126</v>
      </c>
      <c r="J1" t="s">
        <v>130</v>
      </c>
      <c r="L1">
        <f>Eingabe!R24/1000*1/'Löslichkeitstabelle-Wasser-I'!D1</f>
        <v>1.562558595947348E-4</v>
      </c>
      <c r="M1" t="s">
        <v>128</v>
      </c>
      <c r="N1" t="s">
        <v>129</v>
      </c>
      <c r="P1">
        <f>(997/1000)/H1</f>
        <v>5.5341909756606612E-2</v>
      </c>
      <c r="Q1" t="s">
        <v>128</v>
      </c>
      <c r="AP1" s="102" t="s">
        <v>132</v>
      </c>
    </row>
    <row r="2" spans="1:566" x14ac:dyDescent="0.2">
      <c r="J2" t="s">
        <v>131</v>
      </c>
      <c r="L2">
        <f>Eingabe!R27/1000*1/'Löslichkeitstabelle-Wasser-I'!D1</f>
        <v>3.3845019188219558E-4</v>
      </c>
    </row>
    <row r="3" spans="1:566" x14ac:dyDescent="0.2">
      <c r="A3" t="s">
        <v>112</v>
      </c>
      <c r="B3">
        <f t="shared" ref="B3:U3" si="0">B5*0.0013157858376511</f>
        <v>0.78947150259066001</v>
      </c>
      <c r="C3">
        <f t="shared" si="0"/>
        <v>0.79605043177891555</v>
      </c>
      <c r="D3">
        <f t="shared" si="0"/>
        <v>0.80262936096717108</v>
      </c>
      <c r="E3">
        <f t="shared" si="0"/>
        <v>0.8092082901554265</v>
      </c>
      <c r="F3">
        <f t="shared" si="0"/>
        <v>0.81578721934368204</v>
      </c>
      <c r="G3">
        <f t="shared" si="0"/>
        <v>0.82236614853193757</v>
      </c>
      <c r="H3">
        <f t="shared" si="0"/>
        <v>0.82894507772019299</v>
      </c>
      <c r="I3">
        <f t="shared" si="0"/>
        <v>0.83552400690844852</v>
      </c>
      <c r="J3">
        <f t="shared" si="0"/>
        <v>0.84210293609670406</v>
      </c>
      <c r="K3">
        <f t="shared" si="0"/>
        <v>0.84868186528495948</v>
      </c>
      <c r="L3">
        <f t="shared" si="0"/>
        <v>0.85526079447321501</v>
      </c>
      <c r="M3">
        <f t="shared" si="0"/>
        <v>0.86183972366147055</v>
      </c>
      <c r="N3">
        <f t="shared" si="0"/>
        <v>0.86841865284972608</v>
      </c>
      <c r="O3">
        <f t="shared" si="0"/>
        <v>0.8749975820379815</v>
      </c>
      <c r="P3">
        <f t="shared" si="0"/>
        <v>0.88157651122623704</v>
      </c>
      <c r="Q3">
        <f t="shared" si="0"/>
        <v>0.88815544041449257</v>
      </c>
      <c r="R3">
        <f t="shared" si="0"/>
        <v>0.89473436960274799</v>
      </c>
      <c r="S3">
        <f t="shared" si="0"/>
        <v>0.90131329879100353</v>
      </c>
      <c r="T3">
        <f t="shared" si="0"/>
        <v>0.90789222797925906</v>
      </c>
      <c r="U3">
        <f t="shared" si="0"/>
        <v>0.91447115716751448</v>
      </c>
      <c r="V3">
        <f>V5*0.0013157858376511</f>
        <v>0.92105008635577001</v>
      </c>
      <c r="W3">
        <f t="shared" ref="W3:AJ3" si="1">W5*0.0013157858376511</f>
        <v>0.92762901554402555</v>
      </c>
      <c r="X3">
        <f t="shared" si="1"/>
        <v>0.93420794473228108</v>
      </c>
      <c r="Y3">
        <f t="shared" si="1"/>
        <v>0.9407868739205365</v>
      </c>
      <c r="Z3">
        <f t="shared" si="1"/>
        <v>0.94736580310879204</v>
      </c>
      <c r="AA3">
        <f t="shared" si="1"/>
        <v>0.95394473229704757</v>
      </c>
      <c r="AB3">
        <f t="shared" si="1"/>
        <v>0.96052366148530299</v>
      </c>
      <c r="AC3">
        <f t="shared" si="1"/>
        <v>0.96710259067355853</v>
      </c>
      <c r="AD3">
        <f t="shared" si="1"/>
        <v>0.97368151986181406</v>
      </c>
      <c r="AE3">
        <f t="shared" si="1"/>
        <v>0.98026044905006948</v>
      </c>
      <c r="AF3">
        <f t="shared" si="1"/>
        <v>0.98683937823832502</v>
      </c>
      <c r="AG3">
        <f t="shared" si="1"/>
        <v>0.99341830742658055</v>
      </c>
      <c r="AH3">
        <f t="shared" si="1"/>
        <v>0.99999723661483608</v>
      </c>
      <c r="AI3">
        <f t="shared" si="1"/>
        <v>1.0065761658030916</v>
      </c>
      <c r="AJ3">
        <f t="shared" si="1"/>
        <v>1.013155094991347</v>
      </c>
      <c r="AK3">
        <f>AK5*0.0013157858376511</f>
        <v>1.0197340241796025</v>
      </c>
      <c r="AL3">
        <f>AL5*0.0013157858376511</f>
        <v>1.0263129533678581</v>
      </c>
      <c r="AM3">
        <f>AM5*0.0013157858376511</f>
        <v>1.0328918825561135</v>
      </c>
      <c r="AN3">
        <f>AN5*0.0013157858376511</f>
        <v>1.0394708117443689</v>
      </c>
      <c r="AO3">
        <f>AO5*0.0013157858376511</f>
        <v>1.0460497409326246</v>
      </c>
      <c r="AP3">
        <f t="shared" ref="AP3:BI3" si="2">AP5*0.0013157858376511</f>
        <v>1.05262867012088</v>
      </c>
      <c r="AQ3">
        <f t="shared" si="2"/>
        <v>1.0592075993091354</v>
      </c>
      <c r="AR3">
        <f t="shared" si="2"/>
        <v>1.0657865284973911</v>
      </c>
      <c r="AS3">
        <f t="shared" si="2"/>
        <v>1.0723654576856465</v>
      </c>
      <c r="AT3">
        <f t="shared" si="2"/>
        <v>1.0789443868739019</v>
      </c>
      <c r="AU3">
        <f t="shared" si="2"/>
        <v>1.0855233160621576</v>
      </c>
      <c r="AV3">
        <f t="shared" si="2"/>
        <v>1.092102245250413</v>
      </c>
      <c r="AW3">
        <f t="shared" si="2"/>
        <v>1.0986811744386686</v>
      </c>
      <c r="AX3">
        <f t="shared" si="2"/>
        <v>1.1052601036269241</v>
      </c>
      <c r="AY3">
        <f t="shared" si="2"/>
        <v>1.1118390328151795</v>
      </c>
      <c r="AZ3">
        <f t="shared" si="2"/>
        <v>1.1184179620034351</v>
      </c>
      <c r="BA3">
        <f t="shared" si="2"/>
        <v>1.1249968911916906</v>
      </c>
      <c r="BB3">
        <f t="shared" si="2"/>
        <v>1.131575820379946</v>
      </c>
      <c r="BC3">
        <f t="shared" si="2"/>
        <v>1.1381547495682016</v>
      </c>
      <c r="BD3">
        <f t="shared" si="2"/>
        <v>1.144733678756457</v>
      </c>
      <c r="BE3">
        <f t="shared" si="2"/>
        <v>1.1513126079447125</v>
      </c>
      <c r="BF3">
        <f t="shared" si="2"/>
        <v>1.1578915371329681</v>
      </c>
      <c r="BG3">
        <f t="shared" si="2"/>
        <v>1.1644704663212235</v>
      </c>
      <c r="BH3">
        <f t="shared" si="2"/>
        <v>1.171049395509479</v>
      </c>
      <c r="BI3">
        <f t="shared" si="2"/>
        <v>1.1776283246977346</v>
      </c>
      <c r="BJ3">
        <f t="shared" ref="BJ3:DU3" si="3">BJ5*0.0013157858376511</f>
        <v>1.18420725388599</v>
      </c>
      <c r="BK3">
        <f t="shared" si="3"/>
        <v>1.1907861830742454</v>
      </c>
      <c r="BL3">
        <f t="shared" si="3"/>
        <v>1.1973651122625011</v>
      </c>
      <c r="BM3">
        <f t="shared" si="3"/>
        <v>1.2039440414507565</v>
      </c>
      <c r="BN3">
        <f t="shared" si="3"/>
        <v>1.2105229706390122</v>
      </c>
      <c r="BO3">
        <f t="shared" si="3"/>
        <v>1.2171018998272676</v>
      </c>
      <c r="BP3">
        <f t="shared" si="3"/>
        <v>1.223680829015523</v>
      </c>
      <c r="BQ3">
        <f t="shared" si="3"/>
        <v>1.2302597582037786</v>
      </c>
      <c r="BR3">
        <f t="shared" si="3"/>
        <v>1.2368386873920341</v>
      </c>
      <c r="BS3">
        <f t="shared" si="3"/>
        <v>1.2434176165802895</v>
      </c>
      <c r="BT3">
        <f t="shared" si="3"/>
        <v>1.2499965457685451</v>
      </c>
      <c r="BU3">
        <f t="shared" si="3"/>
        <v>1.2565754749568006</v>
      </c>
      <c r="BV3">
        <f t="shared" si="3"/>
        <v>1.263154404145056</v>
      </c>
      <c r="BW3">
        <f t="shared" si="3"/>
        <v>1.2697333333333116</v>
      </c>
      <c r="BX3">
        <f t="shared" si="3"/>
        <v>1.276312262521567</v>
      </c>
      <c r="BY3">
        <f t="shared" si="3"/>
        <v>1.2828911917098225</v>
      </c>
      <c r="BZ3">
        <f t="shared" si="3"/>
        <v>1.2894701208980781</v>
      </c>
      <c r="CA3">
        <f t="shared" si="3"/>
        <v>1.2960490500863335</v>
      </c>
      <c r="CB3">
        <f t="shared" si="3"/>
        <v>1.302627979274589</v>
      </c>
      <c r="CC3">
        <f t="shared" si="3"/>
        <v>1.3092069084628446</v>
      </c>
      <c r="CD3">
        <f t="shared" si="3"/>
        <v>1.3157858376511</v>
      </c>
      <c r="CE3">
        <f t="shared" si="3"/>
        <v>1.3223647668393554</v>
      </c>
      <c r="CF3">
        <f t="shared" si="3"/>
        <v>1.3289436960276111</v>
      </c>
      <c r="CG3">
        <f t="shared" si="3"/>
        <v>1.3355226252158665</v>
      </c>
      <c r="CH3">
        <f t="shared" si="3"/>
        <v>1.3421015544041222</v>
      </c>
      <c r="CI3">
        <f t="shared" si="3"/>
        <v>1.3486804835923776</v>
      </c>
      <c r="CJ3">
        <f t="shared" si="3"/>
        <v>1.355259412780633</v>
      </c>
      <c r="CK3">
        <f t="shared" si="3"/>
        <v>1.3618383419688886</v>
      </c>
      <c r="CL3">
        <f t="shared" si="3"/>
        <v>1.3684172711571441</v>
      </c>
      <c r="CM3">
        <f t="shared" si="3"/>
        <v>1.3749962003453995</v>
      </c>
      <c r="CN3">
        <f t="shared" si="3"/>
        <v>1.3815751295336551</v>
      </c>
      <c r="CO3">
        <f t="shared" si="3"/>
        <v>1.3881540587219106</v>
      </c>
      <c r="CP3">
        <f t="shared" si="3"/>
        <v>1.394732987910166</v>
      </c>
      <c r="CQ3">
        <f t="shared" si="3"/>
        <v>1.4013119170984216</v>
      </c>
      <c r="CR3">
        <f t="shared" si="3"/>
        <v>1.407890846286677</v>
      </c>
      <c r="CS3">
        <f t="shared" si="3"/>
        <v>1.4144697754749325</v>
      </c>
      <c r="CT3">
        <f t="shared" si="3"/>
        <v>1.4210487046631881</v>
      </c>
      <c r="CU3">
        <f t="shared" si="3"/>
        <v>1.4276276338514435</v>
      </c>
      <c r="CV3">
        <f t="shared" si="3"/>
        <v>1.434206563039699</v>
      </c>
      <c r="CW3">
        <f t="shared" si="3"/>
        <v>1.4407854922279546</v>
      </c>
      <c r="CX3">
        <f t="shared" si="3"/>
        <v>1.44736442141621</v>
      </c>
      <c r="CY3">
        <f t="shared" si="3"/>
        <v>1.4539433506044654</v>
      </c>
      <c r="CZ3">
        <f t="shared" si="3"/>
        <v>1.4605222797927211</v>
      </c>
      <c r="DA3">
        <f t="shared" si="3"/>
        <v>1.4671012089809765</v>
      </c>
      <c r="DB3">
        <f t="shared" si="3"/>
        <v>1.4736801381692322</v>
      </c>
      <c r="DC3">
        <f t="shared" si="3"/>
        <v>1.4802590673574876</v>
      </c>
      <c r="DD3">
        <f t="shared" si="3"/>
        <v>1.486837996545743</v>
      </c>
      <c r="DE3">
        <f t="shared" si="3"/>
        <v>1.4934169257339986</v>
      </c>
      <c r="DF3">
        <f t="shared" si="3"/>
        <v>1.4999958549222541</v>
      </c>
      <c r="DG3">
        <f t="shared" si="3"/>
        <v>1.5065747841105095</v>
      </c>
      <c r="DH3">
        <f t="shared" si="3"/>
        <v>1.5131537132987651</v>
      </c>
      <c r="DI3">
        <f t="shared" si="3"/>
        <v>1.5197326424870206</v>
      </c>
      <c r="DJ3">
        <f t="shared" si="3"/>
        <v>1.526311571675276</v>
      </c>
      <c r="DK3">
        <f t="shared" si="3"/>
        <v>1.5328905008635316</v>
      </c>
      <c r="DL3">
        <f t="shared" si="3"/>
        <v>1.539469430051787</v>
      </c>
      <c r="DM3">
        <f t="shared" si="3"/>
        <v>1.5460483592400425</v>
      </c>
      <c r="DN3">
        <f t="shared" si="3"/>
        <v>1.5526272884282981</v>
      </c>
      <c r="DO3">
        <f t="shared" si="3"/>
        <v>1.5592062176165535</v>
      </c>
      <c r="DP3">
        <f t="shared" si="3"/>
        <v>1.565785146804809</v>
      </c>
      <c r="DQ3">
        <f t="shared" si="3"/>
        <v>1.5723640759930646</v>
      </c>
      <c r="DR3">
        <f t="shared" si="3"/>
        <v>1.57894300518132</v>
      </c>
      <c r="DS3">
        <f t="shared" si="3"/>
        <v>1.5855219343695754</v>
      </c>
      <c r="DT3">
        <f t="shared" si="3"/>
        <v>1.5921008635578311</v>
      </c>
      <c r="DU3">
        <f t="shared" si="3"/>
        <v>1.5986797927460865</v>
      </c>
      <c r="DV3">
        <f t="shared" ref="DV3:GG3" si="4">DV5*0.0013157858376511</f>
        <v>1.6052587219343422</v>
      </c>
      <c r="DW3">
        <f t="shared" si="4"/>
        <v>1.6118376511225976</v>
      </c>
      <c r="DX3">
        <f t="shared" si="4"/>
        <v>1.618416580310853</v>
      </c>
      <c r="DY3">
        <f t="shared" si="4"/>
        <v>1.6249955094991086</v>
      </c>
      <c r="DZ3">
        <f t="shared" si="4"/>
        <v>1.6315744386873641</v>
      </c>
      <c r="EA3">
        <f t="shared" si="4"/>
        <v>1.6381533678756195</v>
      </c>
      <c r="EB3">
        <f t="shared" si="4"/>
        <v>1.6447322970638751</v>
      </c>
      <c r="EC3">
        <f t="shared" si="4"/>
        <v>1.6513112262521306</v>
      </c>
      <c r="ED3">
        <f t="shared" si="4"/>
        <v>1.657890155440386</v>
      </c>
      <c r="EE3">
        <f t="shared" si="4"/>
        <v>1.6644690846286416</v>
      </c>
      <c r="EF3">
        <f t="shared" si="4"/>
        <v>1.671048013816897</v>
      </c>
      <c r="EG3">
        <f t="shared" si="4"/>
        <v>1.6776269430051525</v>
      </c>
      <c r="EH3">
        <f t="shared" si="4"/>
        <v>1.6842058721934081</v>
      </c>
      <c r="EI3">
        <f t="shared" si="4"/>
        <v>1.6907848013816635</v>
      </c>
      <c r="EJ3">
        <f t="shared" si="4"/>
        <v>1.697363730569919</v>
      </c>
      <c r="EK3">
        <f t="shared" si="4"/>
        <v>1.7039426597581746</v>
      </c>
      <c r="EL3">
        <f t="shared" si="4"/>
        <v>1.71052158894643</v>
      </c>
      <c r="EM3">
        <f t="shared" si="4"/>
        <v>1.7171005181346857</v>
      </c>
      <c r="EN3">
        <f t="shared" si="4"/>
        <v>1.7236794473229411</v>
      </c>
      <c r="EO3">
        <f t="shared" si="4"/>
        <v>1.7302583765111965</v>
      </c>
      <c r="EP3">
        <f t="shared" si="4"/>
        <v>1.7368373056994522</v>
      </c>
      <c r="EQ3">
        <f t="shared" si="4"/>
        <v>1.7434162348877076</v>
      </c>
      <c r="ER3">
        <f t="shared" si="4"/>
        <v>1.749995164075963</v>
      </c>
      <c r="ES3">
        <f t="shared" si="4"/>
        <v>1.7565740932642187</v>
      </c>
      <c r="ET3">
        <f t="shared" si="4"/>
        <v>1.7631530224524741</v>
      </c>
      <c r="EU3">
        <f t="shared" si="4"/>
        <v>1.7697319516407295</v>
      </c>
      <c r="EV3">
        <f t="shared" si="4"/>
        <v>1.7763108808289851</v>
      </c>
      <c r="EW3">
        <f t="shared" si="4"/>
        <v>1.7828898100172406</v>
      </c>
      <c r="EX3">
        <f t="shared" si="4"/>
        <v>1.789468739205496</v>
      </c>
      <c r="EY3">
        <f t="shared" si="4"/>
        <v>1.7960476683937516</v>
      </c>
      <c r="EZ3">
        <f t="shared" si="4"/>
        <v>1.8026265975820071</v>
      </c>
      <c r="FA3">
        <f t="shared" si="4"/>
        <v>1.8092055267702625</v>
      </c>
      <c r="FB3">
        <f t="shared" si="4"/>
        <v>1.8157844559585181</v>
      </c>
      <c r="FC3">
        <f t="shared" si="4"/>
        <v>1.8223633851467735</v>
      </c>
      <c r="FD3">
        <f t="shared" si="4"/>
        <v>1.828942314335029</v>
      </c>
      <c r="FE3">
        <f t="shared" si="4"/>
        <v>1.8355212435232846</v>
      </c>
      <c r="FF3">
        <f t="shared" si="4"/>
        <v>1.84210017271154</v>
      </c>
      <c r="FG3">
        <f t="shared" si="4"/>
        <v>1.8486791018997957</v>
      </c>
      <c r="FH3">
        <f t="shared" si="4"/>
        <v>1.8552580310880511</v>
      </c>
      <c r="FI3">
        <f t="shared" si="4"/>
        <v>1.8618369602763065</v>
      </c>
      <c r="FJ3">
        <f t="shared" si="4"/>
        <v>1.8684158894645622</v>
      </c>
      <c r="FK3">
        <f t="shared" si="4"/>
        <v>1.8749948186528176</v>
      </c>
      <c r="FL3">
        <f t="shared" si="4"/>
        <v>1.881573747841073</v>
      </c>
      <c r="FM3">
        <f t="shared" si="4"/>
        <v>1.8881526770293287</v>
      </c>
      <c r="FN3">
        <f t="shared" si="4"/>
        <v>1.8947316062175841</v>
      </c>
      <c r="FO3">
        <f t="shared" si="4"/>
        <v>1.9013105354058395</v>
      </c>
      <c r="FP3">
        <f t="shared" si="4"/>
        <v>1.9078894645940951</v>
      </c>
      <c r="FQ3">
        <f t="shared" si="4"/>
        <v>1.9144683937823506</v>
      </c>
      <c r="FR3">
        <f t="shared" si="4"/>
        <v>1.921047322970606</v>
      </c>
      <c r="FS3">
        <f t="shared" si="4"/>
        <v>1.9276262521588616</v>
      </c>
      <c r="FT3">
        <f t="shared" si="4"/>
        <v>1.9342051813471171</v>
      </c>
      <c r="FU3">
        <f t="shared" si="4"/>
        <v>1.9407841105353725</v>
      </c>
      <c r="FV3">
        <f t="shared" si="4"/>
        <v>1.9473630397236281</v>
      </c>
      <c r="FW3">
        <f t="shared" si="4"/>
        <v>1.9539419689118835</v>
      </c>
      <c r="FX3">
        <f t="shared" si="4"/>
        <v>1.960520898100139</v>
      </c>
      <c r="FY3">
        <f t="shared" si="4"/>
        <v>1.9670998272883946</v>
      </c>
      <c r="FZ3">
        <f t="shared" si="4"/>
        <v>1.97367875647665</v>
      </c>
      <c r="GA3">
        <f t="shared" si="4"/>
        <v>1.9802576856649057</v>
      </c>
      <c r="GB3">
        <f t="shared" si="4"/>
        <v>1.9868366148531611</v>
      </c>
      <c r="GC3">
        <f t="shared" si="4"/>
        <v>1.9934155440414165</v>
      </c>
      <c r="GD3">
        <f t="shared" si="4"/>
        <v>1.9999944732296722</v>
      </c>
      <c r="GE3">
        <f t="shared" si="4"/>
        <v>2.0065734024179274</v>
      </c>
      <c r="GF3">
        <f t="shared" si="4"/>
        <v>2.0131523316061832</v>
      </c>
      <c r="GG3">
        <f t="shared" si="4"/>
        <v>2.0197312607944387</v>
      </c>
      <c r="GH3">
        <f t="shared" ref="GH3:IS3" si="5">GH5*0.0013157858376511</f>
        <v>2.0263101899826941</v>
      </c>
      <c r="GI3">
        <f t="shared" si="5"/>
        <v>2.0328891191709495</v>
      </c>
      <c r="GJ3">
        <f t="shared" si="5"/>
        <v>2.0394680483592049</v>
      </c>
      <c r="GK3">
        <f t="shared" si="5"/>
        <v>2.0460469775474608</v>
      </c>
      <c r="GL3">
        <f t="shared" si="5"/>
        <v>2.0526259067357162</v>
      </c>
      <c r="GM3">
        <f t="shared" si="5"/>
        <v>2.0592048359239716</v>
      </c>
      <c r="GN3">
        <f t="shared" si="5"/>
        <v>2.0657837651122271</v>
      </c>
      <c r="GO3">
        <f t="shared" si="5"/>
        <v>2.0723626943004825</v>
      </c>
      <c r="GP3">
        <f t="shared" si="5"/>
        <v>2.0789416234887379</v>
      </c>
      <c r="GQ3">
        <f t="shared" si="5"/>
        <v>2.0855205526769938</v>
      </c>
      <c r="GR3">
        <f t="shared" si="5"/>
        <v>2.0920994818652492</v>
      </c>
      <c r="GS3">
        <f t="shared" si="5"/>
        <v>2.0986784110535046</v>
      </c>
      <c r="GT3">
        <f t="shared" si="5"/>
        <v>2.10525734024176</v>
      </c>
      <c r="GU3">
        <f t="shared" si="5"/>
        <v>2.1118362694300155</v>
      </c>
      <c r="GV3">
        <f t="shared" si="5"/>
        <v>2.1184151986182709</v>
      </c>
      <c r="GW3">
        <f t="shared" si="5"/>
        <v>2.1249941278065267</v>
      </c>
      <c r="GX3">
        <f t="shared" si="5"/>
        <v>2.1315730569947822</v>
      </c>
      <c r="GY3">
        <f t="shared" si="5"/>
        <v>2.1381519861830376</v>
      </c>
      <c r="GZ3">
        <f t="shared" si="5"/>
        <v>2.144730915371293</v>
      </c>
      <c r="HA3">
        <f t="shared" si="5"/>
        <v>2.1513098445595484</v>
      </c>
      <c r="HB3">
        <f t="shared" si="5"/>
        <v>2.1578887737478039</v>
      </c>
      <c r="HC3">
        <f t="shared" si="5"/>
        <v>2.1644677029360597</v>
      </c>
      <c r="HD3">
        <f t="shared" si="5"/>
        <v>2.1710466321243151</v>
      </c>
      <c r="HE3">
        <f t="shared" si="5"/>
        <v>2.1776255613125706</v>
      </c>
      <c r="HF3">
        <f t="shared" si="5"/>
        <v>2.184204490500826</v>
      </c>
      <c r="HG3">
        <f t="shared" si="5"/>
        <v>2.1907834196890814</v>
      </c>
      <c r="HH3">
        <f t="shared" si="5"/>
        <v>2.1973623488773373</v>
      </c>
      <c r="HI3">
        <f t="shared" si="5"/>
        <v>2.2039412780655927</v>
      </c>
      <c r="HJ3">
        <f t="shared" si="5"/>
        <v>2.2105202072538481</v>
      </c>
      <c r="HK3">
        <f t="shared" si="5"/>
        <v>2.2170991364421035</v>
      </c>
      <c r="HL3">
        <f t="shared" si="5"/>
        <v>2.223678065630359</v>
      </c>
      <c r="HM3">
        <f t="shared" si="5"/>
        <v>2.2302569948186144</v>
      </c>
      <c r="HN3">
        <f t="shared" si="5"/>
        <v>2.2368359240068703</v>
      </c>
      <c r="HO3">
        <f t="shared" si="5"/>
        <v>2.2434148531951257</v>
      </c>
      <c r="HP3">
        <f t="shared" si="5"/>
        <v>2.2499937823833811</v>
      </c>
      <c r="HQ3">
        <f t="shared" si="5"/>
        <v>2.2565727115716365</v>
      </c>
      <c r="HR3">
        <f t="shared" si="5"/>
        <v>2.2631516407598919</v>
      </c>
      <c r="HS3">
        <f t="shared" si="5"/>
        <v>2.2697305699481474</v>
      </c>
      <c r="HT3">
        <f t="shared" si="5"/>
        <v>2.2763094991364032</v>
      </c>
      <c r="HU3">
        <f t="shared" si="5"/>
        <v>2.2828884283246587</v>
      </c>
      <c r="HV3">
        <f t="shared" si="5"/>
        <v>2.2894673575129141</v>
      </c>
      <c r="HW3">
        <f t="shared" si="5"/>
        <v>2.2960462867011695</v>
      </c>
      <c r="HX3">
        <f t="shared" si="5"/>
        <v>2.3026252158894249</v>
      </c>
      <c r="HY3">
        <f t="shared" si="5"/>
        <v>2.3092041450776808</v>
      </c>
      <c r="HZ3">
        <f t="shared" si="5"/>
        <v>2.3157830742659362</v>
      </c>
      <c r="IA3">
        <f t="shared" si="5"/>
        <v>2.3223620034541916</v>
      </c>
      <c r="IB3">
        <f t="shared" si="5"/>
        <v>2.3289409326424471</v>
      </c>
      <c r="IC3">
        <f t="shared" si="5"/>
        <v>2.3355198618307025</v>
      </c>
      <c r="ID3">
        <f t="shared" si="5"/>
        <v>2.3420987910189579</v>
      </c>
      <c r="IE3">
        <f t="shared" si="5"/>
        <v>2.3486777202072138</v>
      </c>
      <c r="IF3">
        <f t="shared" si="5"/>
        <v>2.3552566493954692</v>
      </c>
      <c r="IG3">
        <f t="shared" si="5"/>
        <v>2.3618355785837246</v>
      </c>
      <c r="IH3">
        <f t="shared" si="5"/>
        <v>2.36841450777198</v>
      </c>
      <c r="II3">
        <f t="shared" si="5"/>
        <v>2.3749934369602355</v>
      </c>
      <c r="IJ3">
        <f t="shared" si="5"/>
        <v>2.3815723661484909</v>
      </c>
      <c r="IK3">
        <f t="shared" si="5"/>
        <v>2.3881512953367467</v>
      </c>
      <c r="IL3">
        <f t="shared" si="5"/>
        <v>2.3947302245250022</v>
      </c>
      <c r="IM3">
        <f t="shared" si="5"/>
        <v>2.4013091537132576</v>
      </c>
      <c r="IN3">
        <f t="shared" si="5"/>
        <v>2.407888082901513</v>
      </c>
      <c r="IO3">
        <f t="shared" si="5"/>
        <v>2.4144670120897684</v>
      </c>
      <c r="IP3">
        <f t="shared" si="5"/>
        <v>2.4210459412780243</v>
      </c>
      <c r="IQ3">
        <f t="shared" si="5"/>
        <v>2.4276248704662797</v>
      </c>
      <c r="IR3">
        <f t="shared" si="5"/>
        <v>2.4342037996545351</v>
      </c>
      <c r="IS3">
        <f t="shared" si="5"/>
        <v>2.4407827288427906</v>
      </c>
      <c r="IT3">
        <f t="shared" ref="IT3:LE3" si="6">IT5*0.0013157858376511</f>
        <v>2.447361658031046</v>
      </c>
      <c r="IU3">
        <f t="shared" si="6"/>
        <v>2.4539405872193014</v>
      </c>
      <c r="IV3">
        <f t="shared" si="6"/>
        <v>2.4605195164075573</v>
      </c>
      <c r="IW3">
        <f t="shared" si="6"/>
        <v>2.4670984455958127</v>
      </c>
      <c r="IX3">
        <f t="shared" si="6"/>
        <v>2.4736773747840681</v>
      </c>
      <c r="IY3">
        <f t="shared" si="6"/>
        <v>2.4802563039723236</v>
      </c>
      <c r="IZ3">
        <f t="shared" si="6"/>
        <v>2.486835233160579</v>
      </c>
      <c r="JA3">
        <f t="shared" si="6"/>
        <v>2.4934141623488344</v>
      </c>
      <c r="JB3">
        <f t="shared" si="6"/>
        <v>2.4999930915370903</v>
      </c>
      <c r="JC3">
        <f t="shared" si="6"/>
        <v>2.5065720207253457</v>
      </c>
      <c r="JD3">
        <f t="shared" si="6"/>
        <v>2.5131509499136011</v>
      </c>
      <c r="JE3">
        <f t="shared" si="6"/>
        <v>2.5197298791018565</v>
      </c>
      <c r="JF3">
        <f t="shared" si="6"/>
        <v>2.526308808290112</v>
      </c>
      <c r="JG3">
        <f t="shared" si="6"/>
        <v>2.5328877374783674</v>
      </c>
      <c r="JH3">
        <f t="shared" si="6"/>
        <v>2.5394666666666232</v>
      </c>
      <c r="JI3">
        <f t="shared" si="6"/>
        <v>2.5460455958548787</v>
      </c>
      <c r="JJ3">
        <f t="shared" si="6"/>
        <v>2.5526245250431341</v>
      </c>
      <c r="JK3">
        <f t="shared" si="6"/>
        <v>2.5592034542313895</v>
      </c>
      <c r="JL3">
        <f t="shared" si="6"/>
        <v>2.5657823834196449</v>
      </c>
      <c r="JM3">
        <f t="shared" si="6"/>
        <v>2.5723613126079008</v>
      </c>
      <c r="JN3">
        <f t="shared" si="6"/>
        <v>2.5789402417961562</v>
      </c>
      <c r="JO3">
        <f t="shared" si="6"/>
        <v>2.5855191709844116</v>
      </c>
      <c r="JP3">
        <f t="shared" si="6"/>
        <v>2.5920981001726671</v>
      </c>
      <c r="JQ3">
        <f t="shared" si="6"/>
        <v>2.5986770293609225</v>
      </c>
      <c r="JR3">
        <f t="shared" si="6"/>
        <v>2.6052559585491779</v>
      </c>
      <c r="JS3">
        <f t="shared" si="6"/>
        <v>2.6118348877374338</v>
      </c>
      <c r="JT3">
        <f t="shared" si="6"/>
        <v>2.6184138169256892</v>
      </c>
      <c r="JU3">
        <f t="shared" si="6"/>
        <v>2.6249927461139446</v>
      </c>
      <c r="JV3">
        <f t="shared" si="6"/>
        <v>2.6315716753022</v>
      </c>
      <c r="JW3">
        <f t="shared" si="6"/>
        <v>2.6381506044904555</v>
      </c>
      <c r="JX3">
        <f t="shared" si="6"/>
        <v>2.6447295336787109</v>
      </c>
      <c r="JY3">
        <f t="shared" si="6"/>
        <v>2.6513084628669668</v>
      </c>
      <c r="JZ3">
        <f t="shared" si="6"/>
        <v>2.6578873920552222</v>
      </c>
      <c r="KA3">
        <f t="shared" si="6"/>
        <v>2.6644663212434776</v>
      </c>
      <c r="KB3">
        <f t="shared" si="6"/>
        <v>2.671045250431733</v>
      </c>
      <c r="KC3">
        <f t="shared" si="6"/>
        <v>2.6776241796199884</v>
      </c>
      <c r="KD3">
        <f t="shared" si="6"/>
        <v>2.6842031088082443</v>
      </c>
      <c r="KE3">
        <f t="shared" si="6"/>
        <v>2.6907820379964997</v>
      </c>
      <c r="KF3">
        <f t="shared" si="6"/>
        <v>2.6973609671847552</v>
      </c>
      <c r="KG3">
        <f t="shared" si="6"/>
        <v>2.7039398963730106</v>
      </c>
      <c r="KH3">
        <f t="shared" si="6"/>
        <v>2.710518825561266</v>
      </c>
      <c r="KI3">
        <f t="shared" si="6"/>
        <v>2.7170977547495214</v>
      </c>
      <c r="KJ3">
        <f t="shared" si="6"/>
        <v>2.7236766839377773</v>
      </c>
      <c r="KK3">
        <f t="shared" si="6"/>
        <v>2.7302556131260327</v>
      </c>
      <c r="KL3">
        <f t="shared" si="6"/>
        <v>2.7368345423142881</v>
      </c>
      <c r="KM3">
        <f t="shared" si="6"/>
        <v>2.7434134715025436</v>
      </c>
      <c r="KN3">
        <f t="shared" si="6"/>
        <v>2.749992400690799</v>
      </c>
      <c r="KO3">
        <f t="shared" si="6"/>
        <v>2.7565713298790544</v>
      </c>
      <c r="KP3">
        <f t="shared" si="6"/>
        <v>2.7631502590673103</v>
      </c>
      <c r="KQ3">
        <f t="shared" si="6"/>
        <v>2.7697291882555657</v>
      </c>
      <c r="KR3">
        <f t="shared" si="6"/>
        <v>2.7763081174438211</v>
      </c>
      <c r="KS3">
        <f t="shared" si="6"/>
        <v>2.7828870466320765</v>
      </c>
      <c r="KT3">
        <f t="shared" si="6"/>
        <v>2.789465975820332</v>
      </c>
      <c r="KU3">
        <f t="shared" si="6"/>
        <v>2.7960449050085874</v>
      </c>
      <c r="KV3">
        <f t="shared" si="6"/>
        <v>2.8026238341968432</v>
      </c>
      <c r="KW3">
        <f t="shared" si="6"/>
        <v>2.8092027633850987</v>
      </c>
      <c r="KX3">
        <f t="shared" si="6"/>
        <v>2.8157816925733541</v>
      </c>
      <c r="KY3">
        <f t="shared" si="6"/>
        <v>2.8223606217616095</v>
      </c>
      <c r="KZ3">
        <f t="shared" si="6"/>
        <v>2.8289395509498649</v>
      </c>
      <c r="LA3">
        <f t="shared" si="6"/>
        <v>2.8355184801381208</v>
      </c>
      <c r="LB3">
        <f t="shared" si="6"/>
        <v>2.8420974093263762</v>
      </c>
      <c r="LC3">
        <f t="shared" si="6"/>
        <v>2.8486763385146316</v>
      </c>
      <c r="LD3">
        <f t="shared" si="6"/>
        <v>2.8552552677028871</v>
      </c>
      <c r="LE3">
        <f t="shared" si="6"/>
        <v>2.8618341968911425</v>
      </c>
      <c r="LF3">
        <f t="shared" ref="LF3:NQ3" si="7">LF5*0.0013157858376511</f>
        <v>2.8684131260793979</v>
      </c>
      <c r="LG3">
        <f t="shared" si="7"/>
        <v>2.8749920552676538</v>
      </c>
      <c r="LH3">
        <f t="shared" si="7"/>
        <v>2.8815709844559092</v>
      </c>
      <c r="LI3">
        <f t="shared" si="7"/>
        <v>2.8881499136441646</v>
      </c>
      <c r="LJ3">
        <f t="shared" si="7"/>
        <v>2.89472884283242</v>
      </c>
      <c r="LK3">
        <f t="shared" si="7"/>
        <v>2.9013077720206755</v>
      </c>
      <c r="LL3">
        <f t="shared" si="7"/>
        <v>2.9078867012089309</v>
      </c>
      <c r="LM3">
        <f t="shared" si="7"/>
        <v>2.9144656303971868</v>
      </c>
      <c r="LN3">
        <f t="shared" si="7"/>
        <v>2.9210445595854422</v>
      </c>
      <c r="LO3">
        <f t="shared" si="7"/>
        <v>2.9276234887736976</v>
      </c>
      <c r="LP3">
        <f t="shared" si="7"/>
        <v>2.934202417961953</v>
      </c>
      <c r="LQ3">
        <f t="shared" si="7"/>
        <v>2.9407813471502084</v>
      </c>
      <c r="LR3">
        <f t="shared" si="7"/>
        <v>2.9473602763384643</v>
      </c>
      <c r="LS3">
        <f t="shared" si="7"/>
        <v>2.9539392055267197</v>
      </c>
      <c r="LT3">
        <f t="shared" si="7"/>
        <v>2.9605181347149752</v>
      </c>
      <c r="LU3">
        <f t="shared" si="7"/>
        <v>2.9670970639032306</v>
      </c>
      <c r="LV3">
        <f t="shared" si="7"/>
        <v>2.973675993091486</v>
      </c>
      <c r="LW3">
        <f t="shared" si="7"/>
        <v>2.9802549222797414</v>
      </c>
      <c r="LX3">
        <f t="shared" si="7"/>
        <v>2.9868338514679973</v>
      </c>
      <c r="LY3">
        <f t="shared" si="7"/>
        <v>2.9934127806562527</v>
      </c>
      <c r="LZ3">
        <f t="shared" si="7"/>
        <v>2.9999917098445081</v>
      </c>
      <c r="MA3">
        <f t="shared" si="7"/>
        <v>3.0065706390327636</v>
      </c>
      <c r="MB3">
        <f t="shared" si="7"/>
        <v>3.013149568221019</v>
      </c>
      <c r="MC3">
        <f t="shared" si="7"/>
        <v>3.0197284974092744</v>
      </c>
      <c r="MD3">
        <f t="shared" si="7"/>
        <v>3.0263074265975303</v>
      </c>
      <c r="ME3">
        <f t="shared" si="7"/>
        <v>3.0328863557857857</v>
      </c>
      <c r="MF3">
        <f t="shared" si="7"/>
        <v>3.0394652849740411</v>
      </c>
      <c r="MG3">
        <f t="shared" si="7"/>
        <v>3.0460442141622965</v>
      </c>
      <c r="MH3">
        <f t="shared" si="7"/>
        <v>3.052623143350552</v>
      </c>
      <c r="MI3">
        <f t="shared" si="7"/>
        <v>3.0592020725388078</v>
      </c>
      <c r="MJ3">
        <f t="shared" si="7"/>
        <v>3.0657810017270632</v>
      </c>
      <c r="MK3">
        <f t="shared" si="7"/>
        <v>3.0723599309153187</v>
      </c>
      <c r="ML3">
        <f t="shared" si="7"/>
        <v>3.0789388601035741</v>
      </c>
      <c r="MM3">
        <f t="shared" si="7"/>
        <v>3.0855177892918295</v>
      </c>
      <c r="MN3">
        <f t="shared" si="7"/>
        <v>3.0920967184800849</v>
      </c>
      <c r="MO3">
        <f t="shared" si="7"/>
        <v>3.0986756476683408</v>
      </c>
      <c r="MP3">
        <f t="shared" si="7"/>
        <v>3.1052545768565962</v>
      </c>
      <c r="MQ3">
        <f t="shared" si="7"/>
        <v>3.1118335060448516</v>
      </c>
      <c r="MR3">
        <f t="shared" si="7"/>
        <v>3.1184124352331071</v>
      </c>
      <c r="MS3">
        <f t="shared" si="7"/>
        <v>3.1249913644213625</v>
      </c>
      <c r="MT3">
        <f t="shared" si="7"/>
        <v>3.1315702936096179</v>
      </c>
      <c r="MU3">
        <f t="shared" si="7"/>
        <v>3.1381492227978738</v>
      </c>
      <c r="MV3">
        <f t="shared" si="7"/>
        <v>3.1447281519861292</v>
      </c>
      <c r="MW3">
        <f t="shared" si="7"/>
        <v>3.1513070811743846</v>
      </c>
      <c r="MX3">
        <f t="shared" si="7"/>
        <v>3.1578860103626401</v>
      </c>
      <c r="MY3">
        <f t="shared" si="7"/>
        <v>3.1644649395508955</v>
      </c>
      <c r="MZ3">
        <f t="shared" si="7"/>
        <v>3.1710438687391509</v>
      </c>
      <c r="NA3">
        <f t="shared" si="7"/>
        <v>3.1776227979274068</v>
      </c>
      <c r="NB3">
        <f t="shared" si="7"/>
        <v>3.1842017271156622</v>
      </c>
      <c r="NC3">
        <f t="shared" si="7"/>
        <v>3.1907806563039176</v>
      </c>
      <c r="ND3">
        <f t="shared" si="7"/>
        <v>3.197359585492173</v>
      </c>
      <c r="NE3">
        <f t="shared" si="7"/>
        <v>3.2039385146804285</v>
      </c>
      <c r="NF3">
        <f t="shared" si="7"/>
        <v>3.2105174438686843</v>
      </c>
      <c r="NG3">
        <f t="shared" si="7"/>
        <v>3.2170963730569397</v>
      </c>
      <c r="NH3">
        <f t="shared" si="7"/>
        <v>3.2236753022451952</v>
      </c>
      <c r="NI3">
        <f t="shared" si="7"/>
        <v>3.2302542314334506</v>
      </c>
      <c r="NJ3">
        <f t="shared" si="7"/>
        <v>3.236833160621706</v>
      </c>
      <c r="NK3">
        <f t="shared" si="7"/>
        <v>3.2434120898099614</v>
      </c>
      <c r="NL3">
        <f t="shared" si="7"/>
        <v>3.2499910189982173</v>
      </c>
      <c r="NM3">
        <f t="shared" si="7"/>
        <v>3.2565699481864727</v>
      </c>
      <c r="NN3">
        <f t="shared" si="7"/>
        <v>3.2631488773747281</v>
      </c>
      <c r="NO3">
        <f t="shared" si="7"/>
        <v>3.2697278065629836</v>
      </c>
      <c r="NP3">
        <f t="shared" si="7"/>
        <v>3.276306735751239</v>
      </c>
      <c r="NQ3">
        <f t="shared" si="7"/>
        <v>3.2828856649394944</v>
      </c>
      <c r="NR3">
        <f t="shared" ref="NR3:QC3" si="8">NR5*0.0013157858376511</f>
        <v>3.2894645941277503</v>
      </c>
      <c r="NS3">
        <f t="shared" si="8"/>
        <v>3.2960435233160057</v>
      </c>
      <c r="NT3">
        <f t="shared" si="8"/>
        <v>3.3026224525042611</v>
      </c>
      <c r="NU3">
        <f t="shared" si="8"/>
        <v>3.3092013816925165</v>
      </c>
      <c r="NV3">
        <f t="shared" si="8"/>
        <v>3.315780310880772</v>
      </c>
      <c r="NW3">
        <f t="shared" si="8"/>
        <v>3.3223592400690278</v>
      </c>
      <c r="NX3">
        <f t="shared" si="8"/>
        <v>3.3289381692572833</v>
      </c>
      <c r="NY3">
        <f t="shared" si="8"/>
        <v>3.3355170984455387</v>
      </c>
      <c r="NZ3">
        <f t="shared" si="8"/>
        <v>3.3420960276337941</v>
      </c>
      <c r="OA3">
        <f t="shared" si="8"/>
        <v>3.3486749568220495</v>
      </c>
      <c r="OB3">
        <f t="shared" si="8"/>
        <v>3.3552538860103049</v>
      </c>
      <c r="OC3">
        <f t="shared" si="8"/>
        <v>3.3618328151985608</v>
      </c>
      <c r="OD3">
        <f t="shared" si="8"/>
        <v>3.3684117443868162</v>
      </c>
      <c r="OE3">
        <f t="shared" si="8"/>
        <v>3.3749906735750717</v>
      </c>
      <c r="OF3">
        <f t="shared" si="8"/>
        <v>3.3815696027633271</v>
      </c>
      <c r="OG3">
        <f t="shared" si="8"/>
        <v>3.3881485319515825</v>
      </c>
      <c r="OH3">
        <f t="shared" si="8"/>
        <v>3.3947274611398379</v>
      </c>
      <c r="OI3">
        <f t="shared" si="8"/>
        <v>3.4013063903280938</v>
      </c>
      <c r="OJ3">
        <f t="shared" si="8"/>
        <v>3.4078853195163492</v>
      </c>
      <c r="OK3">
        <f t="shared" si="8"/>
        <v>3.4144642487046046</v>
      </c>
      <c r="OL3">
        <f t="shared" si="8"/>
        <v>3.4210431778928601</v>
      </c>
      <c r="OM3">
        <f t="shared" si="8"/>
        <v>3.4276221070811155</v>
      </c>
      <c r="ON3">
        <f t="shared" si="8"/>
        <v>3.4342010362693713</v>
      </c>
      <c r="OO3">
        <f t="shared" si="8"/>
        <v>3.4407799654576268</v>
      </c>
      <c r="OP3">
        <f t="shared" si="8"/>
        <v>3.4473588946458822</v>
      </c>
      <c r="OQ3">
        <f t="shared" si="8"/>
        <v>3.4539378238341376</v>
      </c>
      <c r="OR3">
        <f t="shared" si="8"/>
        <v>3.460516753022393</v>
      </c>
      <c r="OS3">
        <f t="shared" si="8"/>
        <v>3.4670956822106485</v>
      </c>
      <c r="OT3">
        <f t="shared" si="8"/>
        <v>3.4736746113989043</v>
      </c>
      <c r="OU3">
        <f t="shared" si="8"/>
        <v>3.4802535405871597</v>
      </c>
      <c r="OV3">
        <f t="shared" si="8"/>
        <v>3.4868324697754152</v>
      </c>
      <c r="OW3">
        <f t="shared" si="8"/>
        <v>3.4934113989636706</v>
      </c>
      <c r="OX3">
        <f t="shared" si="8"/>
        <v>3.499990328151926</v>
      </c>
      <c r="OY3">
        <f t="shared" si="8"/>
        <v>3.5065692573401814</v>
      </c>
      <c r="OZ3">
        <f t="shared" si="8"/>
        <v>3.5131481865284373</v>
      </c>
      <c r="PA3">
        <f t="shared" si="8"/>
        <v>3.5197271157166927</v>
      </c>
      <c r="PB3">
        <f t="shared" si="8"/>
        <v>3.5263060449049481</v>
      </c>
      <c r="PC3">
        <f t="shared" si="8"/>
        <v>3.5328849740932036</v>
      </c>
      <c r="PD3">
        <f t="shared" si="8"/>
        <v>3.539463903281459</v>
      </c>
      <c r="PE3">
        <f t="shared" si="8"/>
        <v>3.5460428324697144</v>
      </c>
      <c r="PF3">
        <f t="shared" si="8"/>
        <v>3.5526217616579703</v>
      </c>
      <c r="PG3">
        <f t="shared" si="8"/>
        <v>3.5592006908462257</v>
      </c>
      <c r="PH3">
        <f t="shared" si="8"/>
        <v>3.5657796200344811</v>
      </c>
      <c r="PI3">
        <f t="shared" si="8"/>
        <v>3.5723585492227365</v>
      </c>
      <c r="PJ3">
        <f t="shared" si="8"/>
        <v>3.578937478410992</v>
      </c>
      <c r="PK3">
        <f t="shared" si="8"/>
        <v>3.5855164075992478</v>
      </c>
      <c r="PL3">
        <f t="shared" si="8"/>
        <v>3.5920953367875033</v>
      </c>
      <c r="PM3">
        <f t="shared" si="8"/>
        <v>3.5986742659757587</v>
      </c>
      <c r="PN3">
        <f t="shared" si="8"/>
        <v>3.6052531951640141</v>
      </c>
      <c r="PO3">
        <f t="shared" si="8"/>
        <v>3.6118321243522695</v>
      </c>
      <c r="PP3">
        <f t="shared" si="8"/>
        <v>3.6184110535405249</v>
      </c>
      <c r="PQ3">
        <f t="shared" si="8"/>
        <v>3.6249899827287808</v>
      </c>
      <c r="PR3">
        <f t="shared" si="8"/>
        <v>3.6315689119170362</v>
      </c>
      <c r="PS3">
        <f t="shared" si="8"/>
        <v>3.6381478411052917</v>
      </c>
      <c r="PT3">
        <f t="shared" si="8"/>
        <v>3.6447267702935471</v>
      </c>
      <c r="PU3">
        <f t="shared" si="8"/>
        <v>3.6513056994818025</v>
      </c>
      <c r="PV3">
        <f t="shared" si="8"/>
        <v>3.6578846286700579</v>
      </c>
      <c r="PW3">
        <f t="shared" si="8"/>
        <v>3.6644635578583138</v>
      </c>
      <c r="PX3">
        <f t="shared" si="8"/>
        <v>3.6710424870465692</v>
      </c>
      <c r="PY3">
        <f t="shared" si="8"/>
        <v>3.6776214162348246</v>
      </c>
      <c r="PZ3">
        <f t="shared" si="8"/>
        <v>3.6842003454230801</v>
      </c>
      <c r="QA3">
        <f t="shared" si="8"/>
        <v>3.6907792746113355</v>
      </c>
      <c r="QB3">
        <f t="shared" si="8"/>
        <v>3.6973582037995913</v>
      </c>
      <c r="QC3">
        <f t="shared" si="8"/>
        <v>3.7039371329878468</v>
      </c>
      <c r="QD3">
        <f t="shared" ref="QD3:SO3" si="9">QD5*0.0013157858376511</f>
        <v>3.7105160621761022</v>
      </c>
      <c r="QE3">
        <f t="shared" si="9"/>
        <v>3.7170949913643576</v>
      </c>
      <c r="QF3">
        <f t="shared" si="9"/>
        <v>3.723673920552613</v>
      </c>
      <c r="QG3">
        <f t="shared" si="9"/>
        <v>3.7302528497408685</v>
      </c>
      <c r="QH3">
        <f t="shared" si="9"/>
        <v>3.7368317789291243</v>
      </c>
      <c r="QI3">
        <f t="shared" si="9"/>
        <v>3.7434107081173797</v>
      </c>
      <c r="QJ3">
        <f t="shared" si="9"/>
        <v>3.7499896373056352</v>
      </c>
      <c r="QK3">
        <f t="shared" si="9"/>
        <v>3.7565685664938906</v>
      </c>
      <c r="QL3">
        <f t="shared" si="9"/>
        <v>3.763147495682146</v>
      </c>
      <c r="QM3">
        <f t="shared" si="9"/>
        <v>3.7697264248704014</v>
      </c>
      <c r="QN3">
        <f t="shared" si="9"/>
        <v>3.7763053540586573</v>
      </c>
      <c r="QO3">
        <f t="shared" si="9"/>
        <v>3.7828842832469127</v>
      </c>
      <c r="QP3">
        <f t="shared" si="9"/>
        <v>3.7894632124351681</v>
      </c>
      <c r="QQ3">
        <f t="shared" si="9"/>
        <v>3.7960421416234236</v>
      </c>
      <c r="QR3">
        <f t="shared" si="9"/>
        <v>3.802621070811679</v>
      </c>
      <c r="QS3">
        <f t="shared" si="9"/>
        <v>3.8091999999999344</v>
      </c>
      <c r="QT3">
        <f t="shared" si="9"/>
        <v>3.8157789291881903</v>
      </c>
      <c r="QU3">
        <f t="shared" si="9"/>
        <v>3.8223578583764457</v>
      </c>
      <c r="QV3">
        <f t="shared" si="9"/>
        <v>3.8289367875647011</v>
      </c>
      <c r="QW3">
        <f t="shared" si="9"/>
        <v>3.8355157167529565</v>
      </c>
      <c r="QX3">
        <f t="shared" si="9"/>
        <v>3.842094645941212</v>
      </c>
      <c r="QY3">
        <f t="shared" si="9"/>
        <v>3.8486735751294678</v>
      </c>
      <c r="QZ3">
        <f t="shared" si="9"/>
        <v>3.8552525043177233</v>
      </c>
      <c r="RA3">
        <f t="shared" si="9"/>
        <v>3.8618314335059787</v>
      </c>
      <c r="RB3">
        <f t="shared" si="9"/>
        <v>3.8684103626942341</v>
      </c>
      <c r="RC3">
        <f t="shared" si="9"/>
        <v>3.8749892918824895</v>
      </c>
      <c r="RD3">
        <f t="shared" si="9"/>
        <v>3.881568221070745</v>
      </c>
      <c r="RE3">
        <f t="shared" si="9"/>
        <v>3.8881471502590008</v>
      </c>
      <c r="RF3">
        <f t="shared" si="9"/>
        <v>3.8947260794472562</v>
      </c>
      <c r="RG3">
        <f t="shared" si="9"/>
        <v>3.9013050086355117</v>
      </c>
      <c r="RH3">
        <f t="shared" si="9"/>
        <v>3.9078839378237671</v>
      </c>
      <c r="RI3">
        <f t="shared" si="9"/>
        <v>3.9144628670120225</v>
      </c>
      <c r="RJ3">
        <f t="shared" si="9"/>
        <v>3.9210417962002779</v>
      </c>
      <c r="RK3">
        <f t="shared" si="9"/>
        <v>3.9276207253885338</v>
      </c>
      <c r="RL3">
        <f t="shared" si="9"/>
        <v>3.9341996545767892</v>
      </c>
      <c r="RM3">
        <f t="shared" si="9"/>
        <v>3.9407785837650446</v>
      </c>
      <c r="RN3">
        <f t="shared" si="9"/>
        <v>3.9473575129533001</v>
      </c>
      <c r="RO3">
        <f t="shared" si="9"/>
        <v>3.9539364421415555</v>
      </c>
      <c r="RP3">
        <f t="shared" si="9"/>
        <v>3.9605153713298114</v>
      </c>
      <c r="RQ3">
        <f t="shared" si="9"/>
        <v>3.9670943005180668</v>
      </c>
      <c r="RR3">
        <f t="shared" si="9"/>
        <v>3.9736732297063222</v>
      </c>
      <c r="RS3">
        <f t="shared" si="9"/>
        <v>3.9802521588945776</v>
      </c>
      <c r="RT3">
        <f t="shared" si="9"/>
        <v>3.986831088082833</v>
      </c>
      <c r="RU3">
        <f t="shared" si="9"/>
        <v>3.9934100172710885</v>
      </c>
      <c r="RV3">
        <f t="shared" si="9"/>
        <v>3.9999889464593443</v>
      </c>
      <c r="RW3">
        <f t="shared" si="9"/>
        <v>4.0065678756475993</v>
      </c>
      <c r="RX3">
        <f t="shared" si="9"/>
        <v>4.0131468048358547</v>
      </c>
      <c r="RY3">
        <f t="shared" si="9"/>
        <v>4.019725734024111</v>
      </c>
      <c r="RZ3">
        <f t="shared" si="9"/>
        <v>4.0263046632123665</v>
      </c>
      <c r="SA3">
        <f t="shared" si="9"/>
        <v>4.0328835924006219</v>
      </c>
      <c r="SB3">
        <f t="shared" si="9"/>
        <v>4.0394625215888773</v>
      </c>
      <c r="SC3">
        <f t="shared" si="9"/>
        <v>4.0460414507771327</v>
      </c>
      <c r="SD3">
        <f t="shared" si="9"/>
        <v>4.0526203799653882</v>
      </c>
      <c r="SE3">
        <f t="shared" si="9"/>
        <v>4.0591993091536436</v>
      </c>
      <c r="SF3">
        <f t="shared" si="9"/>
        <v>4.065778238341899</v>
      </c>
      <c r="SG3">
        <f t="shared" si="9"/>
        <v>4.0723571675301544</v>
      </c>
      <c r="SH3">
        <f t="shared" si="9"/>
        <v>4.0789360967184098</v>
      </c>
      <c r="SI3">
        <f t="shared" si="9"/>
        <v>4.0855150259066653</v>
      </c>
      <c r="SJ3">
        <f t="shared" si="9"/>
        <v>4.0920939550949216</v>
      </c>
      <c r="SK3">
        <f t="shared" si="9"/>
        <v>4.098672884283177</v>
      </c>
      <c r="SL3">
        <f t="shared" si="9"/>
        <v>4.1052518134714324</v>
      </c>
      <c r="SM3">
        <f t="shared" si="9"/>
        <v>4.1118307426596878</v>
      </c>
      <c r="SN3">
        <f t="shared" si="9"/>
        <v>4.1184096718479433</v>
      </c>
      <c r="SO3">
        <f t="shared" si="9"/>
        <v>4.1249886010361987</v>
      </c>
      <c r="SP3">
        <f t="shared" ref="SP3:UT3" si="10">SP5*0.0013157858376511</f>
        <v>4.1315675302244541</v>
      </c>
      <c r="SQ3">
        <f t="shared" si="10"/>
        <v>4.1381464594127095</v>
      </c>
      <c r="SR3">
        <f t="shared" si="10"/>
        <v>4.144725388600965</v>
      </c>
      <c r="SS3">
        <f t="shared" si="10"/>
        <v>4.1513043177892204</v>
      </c>
      <c r="ST3">
        <f t="shared" si="10"/>
        <v>4.1578832469774758</v>
      </c>
      <c r="SU3">
        <f t="shared" si="10"/>
        <v>4.1644621761657312</v>
      </c>
      <c r="SV3">
        <f t="shared" si="10"/>
        <v>4.1710411053539875</v>
      </c>
      <c r="SW3">
        <f t="shared" si="10"/>
        <v>4.177620034542243</v>
      </c>
      <c r="SX3">
        <f t="shared" si="10"/>
        <v>4.1841989637304984</v>
      </c>
      <c r="SY3">
        <f t="shared" si="10"/>
        <v>4.1907778929187538</v>
      </c>
      <c r="SZ3">
        <f t="shared" si="10"/>
        <v>4.1973568221070092</v>
      </c>
      <c r="TA3">
        <f t="shared" si="10"/>
        <v>4.2039357512952646</v>
      </c>
      <c r="TB3">
        <f t="shared" si="10"/>
        <v>4.2105146804835201</v>
      </c>
      <c r="TC3">
        <f t="shared" si="10"/>
        <v>4.2170936096717755</v>
      </c>
      <c r="TD3">
        <f t="shared" si="10"/>
        <v>4.2236725388600309</v>
      </c>
      <c r="TE3">
        <f t="shared" si="10"/>
        <v>4.2302514680482863</v>
      </c>
      <c r="TF3">
        <f t="shared" si="10"/>
        <v>4.2368303972365418</v>
      </c>
      <c r="TG3">
        <f t="shared" si="10"/>
        <v>4.2434093264247981</v>
      </c>
      <c r="TH3">
        <f t="shared" si="10"/>
        <v>4.2499882556130535</v>
      </c>
      <c r="TI3">
        <f t="shared" si="10"/>
        <v>4.2565671848013089</v>
      </c>
      <c r="TJ3">
        <f t="shared" si="10"/>
        <v>4.2631461139895643</v>
      </c>
      <c r="TK3">
        <f t="shared" si="10"/>
        <v>4.2697250431778198</v>
      </c>
      <c r="TL3">
        <f t="shared" si="10"/>
        <v>4.2763039723660752</v>
      </c>
      <c r="TM3">
        <f t="shared" si="10"/>
        <v>4.2828829015543306</v>
      </c>
      <c r="TN3">
        <f t="shared" si="10"/>
        <v>4.289461830742586</v>
      </c>
      <c r="TO3">
        <f t="shared" si="10"/>
        <v>4.2960407599308414</v>
      </c>
      <c r="TP3">
        <f t="shared" si="10"/>
        <v>4.3026196891190969</v>
      </c>
      <c r="TQ3">
        <f t="shared" si="10"/>
        <v>4.3091986183073523</v>
      </c>
      <c r="TR3">
        <f t="shared" si="10"/>
        <v>4.3157775474956077</v>
      </c>
      <c r="TS3">
        <f t="shared" si="10"/>
        <v>4.322356476683864</v>
      </c>
      <c r="TT3">
        <f t="shared" si="10"/>
        <v>4.3289354058721194</v>
      </c>
      <c r="TU3">
        <f t="shared" si="10"/>
        <v>4.3355143350603749</v>
      </c>
      <c r="TV3">
        <f t="shared" si="10"/>
        <v>4.3420932642486303</v>
      </c>
      <c r="TW3">
        <f t="shared" si="10"/>
        <v>4.3486721934368857</v>
      </c>
      <c r="TX3">
        <f t="shared" si="10"/>
        <v>4.3552511226251411</v>
      </c>
      <c r="TY3">
        <f t="shared" si="10"/>
        <v>4.3618300518133966</v>
      </c>
      <c r="TZ3">
        <f t="shared" si="10"/>
        <v>4.368408981001652</v>
      </c>
      <c r="UA3">
        <f t="shared" si="10"/>
        <v>4.3749879101899074</v>
      </c>
      <c r="UB3">
        <f t="shared" si="10"/>
        <v>4.3815668393781628</v>
      </c>
      <c r="UC3">
        <f t="shared" si="10"/>
        <v>4.3881457685664182</v>
      </c>
      <c r="UD3">
        <f t="shared" si="10"/>
        <v>4.3947246977546746</v>
      </c>
      <c r="UE3">
        <f t="shared" si="10"/>
        <v>4.40130362694293</v>
      </c>
      <c r="UF3">
        <f t="shared" si="10"/>
        <v>4.4078825561311854</v>
      </c>
      <c r="UG3">
        <f t="shared" si="10"/>
        <v>4.4144614853194408</v>
      </c>
      <c r="UH3">
        <f t="shared" si="10"/>
        <v>4.4210404145076962</v>
      </c>
      <c r="UI3">
        <f t="shared" si="10"/>
        <v>4.4276193436959517</v>
      </c>
      <c r="UJ3">
        <f t="shared" si="10"/>
        <v>4.4341982728842071</v>
      </c>
      <c r="UK3">
        <f t="shared" si="10"/>
        <v>4.4407772020724625</v>
      </c>
      <c r="UL3">
        <f t="shared" si="10"/>
        <v>4.4473561312607179</v>
      </c>
      <c r="UM3">
        <f t="shared" si="10"/>
        <v>4.4539350604489734</v>
      </c>
      <c r="UN3">
        <f t="shared" si="10"/>
        <v>4.4605139896372288</v>
      </c>
      <c r="UO3">
        <f t="shared" si="10"/>
        <v>4.4670929188254851</v>
      </c>
      <c r="UP3">
        <f t="shared" si="10"/>
        <v>4.4736718480137405</v>
      </c>
      <c r="UQ3">
        <f t="shared" si="10"/>
        <v>4.4802507772019959</v>
      </c>
      <c r="UR3">
        <f t="shared" si="10"/>
        <v>4.4868297063902514</v>
      </c>
      <c r="US3">
        <f t="shared" si="10"/>
        <v>4.4934086355785068</v>
      </c>
      <c r="UT3">
        <f t="shared" si="10"/>
        <v>4.4999875647667622</v>
      </c>
    </row>
    <row r="4" spans="1:566" x14ac:dyDescent="0.2">
      <c r="A4" t="s">
        <v>111</v>
      </c>
      <c r="B4">
        <f t="shared" ref="B4:U4" si="11">B5*0.00133322</f>
        <v>0.79993199999999998</v>
      </c>
      <c r="C4">
        <f t="shared" si="11"/>
        <v>0.80659809999999998</v>
      </c>
      <c r="D4">
        <f t="shared" si="11"/>
        <v>0.81326419999999999</v>
      </c>
      <c r="E4">
        <f t="shared" si="11"/>
        <v>0.8199303</v>
      </c>
      <c r="F4">
        <f t="shared" si="11"/>
        <v>0.82659640000000001</v>
      </c>
      <c r="G4">
        <f t="shared" si="11"/>
        <v>0.83326250000000002</v>
      </c>
      <c r="H4">
        <f t="shared" si="11"/>
        <v>0.83992860000000003</v>
      </c>
      <c r="I4">
        <f t="shared" si="11"/>
        <v>0.84659470000000003</v>
      </c>
      <c r="J4">
        <f t="shared" si="11"/>
        <v>0.85326079999999993</v>
      </c>
      <c r="K4">
        <f t="shared" si="11"/>
        <v>0.85992689999999994</v>
      </c>
      <c r="L4">
        <f t="shared" si="11"/>
        <v>0.86659299999999995</v>
      </c>
      <c r="M4">
        <f t="shared" si="11"/>
        <v>0.87325909999999995</v>
      </c>
      <c r="N4">
        <f t="shared" si="11"/>
        <v>0.87992519999999996</v>
      </c>
      <c r="O4">
        <f t="shared" si="11"/>
        <v>0.88659129999999997</v>
      </c>
      <c r="P4">
        <f t="shared" si="11"/>
        <v>0.89325739999999998</v>
      </c>
      <c r="Q4">
        <f t="shared" si="11"/>
        <v>0.89992349999999999</v>
      </c>
      <c r="R4">
        <f t="shared" si="11"/>
        <v>0.9065896</v>
      </c>
      <c r="S4">
        <f t="shared" si="11"/>
        <v>0.9132557</v>
      </c>
      <c r="T4">
        <f t="shared" si="11"/>
        <v>0.91992180000000001</v>
      </c>
      <c r="U4">
        <f t="shared" si="11"/>
        <v>0.92658790000000002</v>
      </c>
      <c r="V4">
        <f>V5*0.00133322</f>
        <v>0.93325400000000003</v>
      </c>
      <c r="W4">
        <f t="shared" ref="W4:AJ4" si="12">W5*0.00133322</f>
        <v>0.93992010000000004</v>
      </c>
      <c r="X4">
        <f t="shared" si="12"/>
        <v>0.94658619999999993</v>
      </c>
      <c r="Y4">
        <f t="shared" si="12"/>
        <v>0.95325229999999994</v>
      </c>
      <c r="Z4">
        <f t="shared" si="12"/>
        <v>0.95991839999999995</v>
      </c>
      <c r="AA4">
        <f t="shared" si="12"/>
        <v>0.96658449999999996</v>
      </c>
      <c r="AB4">
        <f t="shared" si="12"/>
        <v>0.97325059999999997</v>
      </c>
      <c r="AC4">
        <f t="shared" si="12"/>
        <v>0.97991669999999997</v>
      </c>
      <c r="AD4">
        <f t="shared" si="12"/>
        <v>0.98658279999999998</v>
      </c>
      <c r="AE4">
        <f t="shared" si="12"/>
        <v>0.99324889999999999</v>
      </c>
      <c r="AF4">
        <f t="shared" si="12"/>
        <v>0.999915</v>
      </c>
      <c r="AG4">
        <f t="shared" si="12"/>
        <v>1.0065811</v>
      </c>
      <c r="AH4">
        <f t="shared" si="12"/>
        <v>1.0132471999999999</v>
      </c>
      <c r="AI4">
        <f t="shared" si="12"/>
        <v>1.0199133</v>
      </c>
      <c r="AJ4">
        <f t="shared" si="12"/>
        <v>1.0265793999999999</v>
      </c>
      <c r="AK4">
        <f>AK5*0.00133322</f>
        <v>1.0332455</v>
      </c>
      <c r="AL4">
        <f>AL5*0.00133322</f>
        <v>1.0399115999999999</v>
      </c>
      <c r="AM4">
        <f>AM5*0.00133322</f>
        <v>1.0465777000000001</v>
      </c>
      <c r="AN4">
        <f>AN5*0.00133322</f>
        <v>1.0532438</v>
      </c>
      <c r="AO4">
        <f>AO5*0.00133322</f>
        <v>1.0599099000000001</v>
      </c>
      <c r="AP4">
        <f t="shared" ref="AP4:BI4" si="13">AP5*0.00133322</f>
        <v>1.066576</v>
      </c>
      <c r="AQ4">
        <f t="shared" si="13"/>
        <v>1.0732421000000001</v>
      </c>
      <c r="AR4">
        <f t="shared" si="13"/>
        <v>1.0799082</v>
      </c>
      <c r="AS4">
        <f t="shared" si="13"/>
        <v>1.0865742999999999</v>
      </c>
      <c r="AT4">
        <f t="shared" si="13"/>
        <v>1.0932404</v>
      </c>
      <c r="AU4">
        <f t="shared" si="13"/>
        <v>1.0999064999999999</v>
      </c>
      <c r="AV4">
        <f t="shared" si="13"/>
        <v>1.1065726</v>
      </c>
      <c r="AW4">
        <f t="shared" si="13"/>
        <v>1.1132386999999999</v>
      </c>
      <c r="AX4">
        <f t="shared" si="13"/>
        <v>1.1199048</v>
      </c>
      <c r="AY4">
        <f t="shared" si="13"/>
        <v>1.1265708999999999</v>
      </c>
      <c r="AZ4">
        <f t="shared" si="13"/>
        <v>1.133237</v>
      </c>
      <c r="BA4">
        <f t="shared" si="13"/>
        <v>1.1399030999999999</v>
      </c>
      <c r="BB4">
        <f t="shared" si="13"/>
        <v>1.1465692000000001</v>
      </c>
      <c r="BC4">
        <f t="shared" si="13"/>
        <v>1.1532353</v>
      </c>
      <c r="BD4">
        <f t="shared" si="13"/>
        <v>1.1599014000000001</v>
      </c>
      <c r="BE4">
        <f t="shared" si="13"/>
        <v>1.1665675</v>
      </c>
      <c r="BF4">
        <f t="shared" si="13"/>
        <v>1.1732335999999999</v>
      </c>
      <c r="BG4">
        <f t="shared" si="13"/>
        <v>1.1798997</v>
      </c>
      <c r="BH4">
        <f t="shared" si="13"/>
        <v>1.1865657999999999</v>
      </c>
      <c r="BI4">
        <f t="shared" si="13"/>
        <v>1.1932319</v>
      </c>
      <c r="BJ4">
        <f t="shared" ref="BJ4" si="14">BJ5*0.00133322</f>
        <v>1.1998979999999999</v>
      </c>
      <c r="BK4">
        <f t="shared" ref="BK4" si="15">BK5*0.00133322</f>
        <v>1.2065641</v>
      </c>
      <c r="BL4">
        <f t="shared" ref="BL4" si="16">BL5*0.00133322</f>
        <v>1.2132301999999999</v>
      </c>
      <c r="BM4">
        <f t="shared" ref="BM4" si="17">BM5*0.00133322</f>
        <v>1.2198963</v>
      </c>
      <c r="BN4">
        <f t="shared" ref="BN4" si="18">BN5*0.00133322</f>
        <v>1.2265623999999999</v>
      </c>
      <c r="BO4">
        <f t="shared" ref="BO4" si="19">BO5*0.00133322</f>
        <v>1.2332285000000001</v>
      </c>
      <c r="BP4">
        <f t="shared" ref="BP4" si="20">BP5*0.00133322</f>
        <v>1.2398946</v>
      </c>
      <c r="BQ4">
        <f t="shared" ref="BQ4" si="21">BQ5*0.00133322</f>
        <v>1.2465607000000001</v>
      </c>
      <c r="BR4">
        <f t="shared" ref="BR4" si="22">BR5*0.00133322</f>
        <v>1.2532268</v>
      </c>
      <c r="BS4">
        <f t="shared" ref="BS4" si="23">BS5*0.00133322</f>
        <v>1.2598928999999999</v>
      </c>
      <c r="BT4">
        <f t="shared" ref="BT4" si="24">BT5*0.00133322</f>
        <v>1.266559</v>
      </c>
      <c r="BU4">
        <f t="shared" ref="BU4" si="25">BU5*0.00133322</f>
        <v>1.2732250999999999</v>
      </c>
      <c r="BV4">
        <f t="shared" ref="BV4" si="26">BV5*0.00133322</f>
        <v>1.2798912</v>
      </c>
      <c r="BW4">
        <f t="shared" ref="BW4" si="27">BW5*0.00133322</f>
        <v>1.2865572999999999</v>
      </c>
      <c r="BX4">
        <f t="shared" ref="BX4" si="28">BX5*0.00133322</f>
        <v>1.2932234</v>
      </c>
      <c r="BY4">
        <f t="shared" ref="BY4" si="29">BY5*0.00133322</f>
        <v>1.2998894999999999</v>
      </c>
      <c r="BZ4">
        <f t="shared" ref="BZ4" si="30">BZ5*0.00133322</f>
        <v>1.3065556</v>
      </c>
      <c r="CA4">
        <f t="shared" ref="CA4" si="31">CA5*0.00133322</f>
        <v>1.3132216999999999</v>
      </c>
      <c r="CB4">
        <f t="shared" ref="CB4" si="32">CB5*0.00133322</f>
        <v>1.3198878000000001</v>
      </c>
      <c r="CC4">
        <f t="shared" ref="CC4" si="33">CC5*0.00133322</f>
        <v>1.3265539</v>
      </c>
      <c r="CD4">
        <f t="shared" ref="CD4" si="34">CD5*0.00133322</f>
        <v>1.3332200000000001</v>
      </c>
      <c r="CE4">
        <f t="shared" ref="CE4" si="35">CE5*0.00133322</f>
        <v>1.3398861</v>
      </c>
      <c r="CF4">
        <f t="shared" ref="CF4" si="36">CF5*0.00133322</f>
        <v>1.3465522000000001</v>
      </c>
      <c r="CG4">
        <f t="shared" ref="CG4" si="37">CG5*0.00133322</f>
        <v>1.3532183</v>
      </c>
      <c r="CH4">
        <f t="shared" ref="CH4" si="38">CH5*0.00133322</f>
        <v>1.3598843999999999</v>
      </c>
      <c r="CI4">
        <f t="shared" ref="CI4" si="39">CI5*0.00133322</f>
        <v>1.3665505</v>
      </c>
      <c r="CJ4">
        <f t="shared" ref="CJ4" si="40">CJ5*0.00133322</f>
        <v>1.3732165999999999</v>
      </c>
      <c r="CK4">
        <f t="shared" ref="CK4" si="41">CK5*0.00133322</f>
        <v>1.3798827</v>
      </c>
      <c r="CL4">
        <f t="shared" ref="CL4" si="42">CL5*0.00133322</f>
        <v>1.3865487999999999</v>
      </c>
      <c r="CM4">
        <f t="shared" ref="CM4" si="43">CM5*0.00133322</f>
        <v>1.3932149</v>
      </c>
      <c r="CN4">
        <f t="shared" ref="CN4" si="44">CN5*0.00133322</f>
        <v>1.3998809999999999</v>
      </c>
      <c r="CO4">
        <f t="shared" ref="CO4" si="45">CO5*0.00133322</f>
        <v>1.4065471000000001</v>
      </c>
      <c r="CP4">
        <f t="shared" ref="CP4" si="46">CP5*0.00133322</f>
        <v>1.4132131999999999</v>
      </c>
      <c r="CQ4">
        <f t="shared" ref="CQ4" si="47">CQ5*0.00133322</f>
        <v>1.4198793000000001</v>
      </c>
      <c r="CR4">
        <f t="shared" ref="CR4" si="48">CR5*0.00133322</f>
        <v>1.4265454</v>
      </c>
      <c r="CS4">
        <f t="shared" ref="CS4" si="49">CS5*0.00133322</f>
        <v>1.4332115000000001</v>
      </c>
      <c r="CT4">
        <f t="shared" ref="CT4" si="50">CT5*0.00133322</f>
        <v>1.4398776</v>
      </c>
      <c r="CU4">
        <f t="shared" ref="CU4" si="51">CU5*0.00133322</f>
        <v>1.4465436999999999</v>
      </c>
      <c r="CV4">
        <f t="shared" ref="CV4" si="52">CV5*0.00133322</f>
        <v>1.4532098</v>
      </c>
      <c r="CW4">
        <f t="shared" ref="CW4" si="53">CW5*0.00133322</f>
        <v>1.4598758999999999</v>
      </c>
      <c r="CX4">
        <f t="shared" ref="CX4" si="54">CX5*0.00133322</f>
        <v>1.466542</v>
      </c>
      <c r="CY4">
        <f t="shared" ref="CY4" si="55">CY5*0.00133322</f>
        <v>1.4732080999999999</v>
      </c>
      <c r="CZ4">
        <f t="shared" ref="CZ4" si="56">CZ5*0.00133322</f>
        <v>1.4798742</v>
      </c>
      <c r="DA4">
        <f t="shared" ref="DA4" si="57">DA5*0.00133322</f>
        <v>1.4865402999999999</v>
      </c>
      <c r="DB4">
        <f t="shared" ref="DB4" si="58">DB5*0.00133322</f>
        <v>1.4932064</v>
      </c>
      <c r="DC4">
        <f t="shared" ref="DC4" si="59">DC5*0.00133322</f>
        <v>1.4998724999999999</v>
      </c>
      <c r="DD4">
        <f t="shared" ref="DD4" si="60">DD5*0.00133322</f>
        <v>1.5065386000000001</v>
      </c>
      <c r="DE4">
        <f t="shared" ref="DE4" si="61">DE5*0.00133322</f>
        <v>1.5132047</v>
      </c>
      <c r="DF4">
        <f t="shared" ref="DF4" si="62">DF5*0.00133322</f>
        <v>1.5198708000000001</v>
      </c>
      <c r="DG4">
        <f t="shared" ref="DG4" si="63">DG5*0.00133322</f>
        <v>1.5265369</v>
      </c>
      <c r="DH4">
        <f t="shared" ref="DH4" si="64">DH5*0.00133322</f>
        <v>1.5332029999999999</v>
      </c>
      <c r="DI4">
        <f t="shared" ref="DI4" si="65">DI5*0.00133322</f>
        <v>1.5398691</v>
      </c>
      <c r="DJ4">
        <f t="shared" ref="DJ4" si="66">DJ5*0.00133322</f>
        <v>1.5465351999999999</v>
      </c>
      <c r="DK4">
        <f t="shared" ref="DK4" si="67">DK5*0.00133322</f>
        <v>1.5532013</v>
      </c>
      <c r="DL4">
        <f t="shared" ref="DL4" si="68">DL5*0.00133322</f>
        <v>1.5598673999999999</v>
      </c>
      <c r="DM4">
        <f t="shared" ref="DM4" si="69">DM5*0.00133322</f>
        <v>1.5665335</v>
      </c>
      <c r="DN4">
        <f t="shared" ref="DN4" si="70">DN5*0.00133322</f>
        <v>1.5731995999999999</v>
      </c>
      <c r="DO4">
        <f t="shared" ref="DO4" si="71">DO5*0.00133322</f>
        <v>1.5798657</v>
      </c>
      <c r="DP4">
        <f t="shared" ref="DP4" si="72">DP5*0.00133322</f>
        <v>1.5865317999999999</v>
      </c>
      <c r="DQ4">
        <f t="shared" ref="DQ4" si="73">DQ5*0.00133322</f>
        <v>1.5931979000000001</v>
      </c>
      <c r="DR4">
        <f t="shared" ref="DR4" si="74">DR5*0.00133322</f>
        <v>1.599864</v>
      </c>
      <c r="DS4">
        <f t="shared" ref="DS4" si="75">DS5*0.00133322</f>
        <v>1.6065301000000001</v>
      </c>
      <c r="DT4">
        <f t="shared" ref="DT4" si="76">DT5*0.00133322</f>
        <v>1.6131962</v>
      </c>
      <c r="DU4">
        <f t="shared" ref="DU4" si="77">DU5*0.00133322</f>
        <v>1.6198622999999999</v>
      </c>
      <c r="DV4">
        <f t="shared" ref="DV4" si="78">DV5*0.00133322</f>
        <v>1.6265284</v>
      </c>
      <c r="DW4">
        <f t="shared" ref="DW4" si="79">DW5*0.00133322</f>
        <v>1.6331944999999999</v>
      </c>
      <c r="DX4">
        <f t="shared" ref="DX4" si="80">DX5*0.00133322</f>
        <v>1.6398606</v>
      </c>
      <c r="DY4">
        <f t="shared" ref="DY4" si="81">DY5*0.00133322</f>
        <v>1.6465266999999999</v>
      </c>
      <c r="DZ4">
        <f t="shared" ref="DZ4" si="82">DZ5*0.00133322</f>
        <v>1.6531928</v>
      </c>
      <c r="EA4">
        <f t="shared" ref="EA4" si="83">EA5*0.00133322</f>
        <v>1.6598588999999999</v>
      </c>
      <c r="EB4">
        <f t="shared" ref="EB4" si="84">EB5*0.00133322</f>
        <v>1.666525</v>
      </c>
      <c r="EC4">
        <f t="shared" ref="EC4" si="85">EC5*0.00133322</f>
        <v>1.6731910999999999</v>
      </c>
      <c r="ED4">
        <f t="shared" ref="ED4" si="86">ED5*0.00133322</f>
        <v>1.6798572000000001</v>
      </c>
      <c r="EE4">
        <f t="shared" ref="EE4" si="87">EE5*0.00133322</f>
        <v>1.6865232999999999</v>
      </c>
      <c r="EF4">
        <f t="shared" ref="EF4" si="88">EF5*0.00133322</f>
        <v>1.6931894000000001</v>
      </c>
      <c r="EG4">
        <f t="shared" ref="EG4" si="89">EG5*0.00133322</f>
        <v>1.6998555</v>
      </c>
      <c r="EH4">
        <f t="shared" ref="EH4" si="90">EH5*0.00133322</f>
        <v>1.7065215999999999</v>
      </c>
      <c r="EI4">
        <f t="shared" ref="EI4" si="91">EI5*0.00133322</f>
        <v>1.7131877</v>
      </c>
      <c r="EJ4">
        <f t="shared" ref="EJ4" si="92">EJ5*0.00133322</f>
        <v>1.7198537999999999</v>
      </c>
      <c r="EK4">
        <f t="shared" ref="EK4" si="93">EK5*0.00133322</f>
        <v>1.7265199</v>
      </c>
      <c r="EL4">
        <f t="shared" ref="EL4" si="94">EL5*0.00133322</f>
        <v>1.7331859999999999</v>
      </c>
      <c r="EM4">
        <f t="shared" ref="EM4" si="95">EM5*0.00133322</f>
        <v>1.7398521</v>
      </c>
      <c r="EN4">
        <f t="shared" ref="EN4" si="96">EN5*0.00133322</f>
        <v>1.7465181999999999</v>
      </c>
      <c r="EO4">
        <f t="shared" ref="EO4" si="97">EO5*0.00133322</f>
        <v>1.7531843</v>
      </c>
      <c r="EP4">
        <f t="shared" ref="EP4" si="98">EP5*0.00133322</f>
        <v>1.7598503999999999</v>
      </c>
      <c r="EQ4">
        <f t="shared" ref="EQ4" si="99">EQ5*0.00133322</f>
        <v>1.7665165</v>
      </c>
      <c r="ER4">
        <f t="shared" ref="ER4" si="100">ER5*0.00133322</f>
        <v>1.7731825999999999</v>
      </c>
      <c r="ES4">
        <f t="shared" ref="ES4" si="101">ES5*0.00133322</f>
        <v>1.7798487000000001</v>
      </c>
      <c r="ET4">
        <f t="shared" ref="ET4" si="102">ET5*0.00133322</f>
        <v>1.7865148</v>
      </c>
      <c r="EU4">
        <f t="shared" ref="EU4" si="103">EU5*0.00133322</f>
        <v>1.7931809000000001</v>
      </c>
      <c r="EV4">
        <f t="shared" ref="EV4" si="104">EV5*0.00133322</f>
        <v>1.799847</v>
      </c>
      <c r="EW4">
        <f t="shared" ref="EW4" si="105">EW5*0.00133322</f>
        <v>1.8065130999999999</v>
      </c>
      <c r="EX4">
        <f t="shared" ref="EX4" si="106">EX5*0.00133322</f>
        <v>1.8131792</v>
      </c>
      <c r="EY4">
        <f t="shared" ref="EY4" si="107">EY5*0.00133322</f>
        <v>1.8198452999999999</v>
      </c>
      <c r="EZ4">
        <f t="shared" ref="EZ4" si="108">EZ5*0.00133322</f>
        <v>1.8265114</v>
      </c>
      <c r="FA4">
        <f t="shared" ref="FA4" si="109">FA5*0.00133322</f>
        <v>1.8331774999999999</v>
      </c>
      <c r="FB4">
        <f t="shared" ref="FB4" si="110">FB5*0.00133322</f>
        <v>1.8398436</v>
      </c>
      <c r="FC4">
        <f t="shared" ref="FC4" si="111">FC5*0.00133322</f>
        <v>1.8465096999999999</v>
      </c>
      <c r="FD4">
        <f t="shared" ref="FD4" si="112">FD5*0.00133322</f>
        <v>1.8531758</v>
      </c>
      <c r="FE4">
        <f t="shared" ref="FE4" si="113">FE5*0.00133322</f>
        <v>1.8598418999999999</v>
      </c>
      <c r="FF4">
        <f t="shared" ref="FF4" si="114">FF5*0.00133322</f>
        <v>1.8665080000000001</v>
      </c>
      <c r="FG4">
        <f t="shared" ref="FG4" si="115">FG5*0.00133322</f>
        <v>1.8731741</v>
      </c>
      <c r="FH4">
        <f t="shared" ref="FH4" si="116">FH5*0.00133322</f>
        <v>1.8798402000000001</v>
      </c>
      <c r="FI4">
        <f t="shared" ref="FI4" si="117">FI5*0.00133322</f>
        <v>1.8865063</v>
      </c>
      <c r="FJ4">
        <f t="shared" ref="FJ4" si="118">FJ5*0.00133322</f>
        <v>1.8931723999999999</v>
      </c>
      <c r="FK4">
        <f t="shared" ref="FK4" si="119">FK5*0.00133322</f>
        <v>1.8998385</v>
      </c>
      <c r="FL4">
        <f t="shared" ref="FL4" si="120">FL5*0.00133322</f>
        <v>1.9065045999999999</v>
      </c>
      <c r="FM4">
        <f t="shared" ref="FM4" si="121">FM5*0.00133322</f>
        <v>1.9131707</v>
      </c>
      <c r="FN4">
        <f t="shared" ref="FN4" si="122">FN5*0.00133322</f>
        <v>1.9198367999999999</v>
      </c>
      <c r="FO4">
        <f t="shared" ref="FO4" si="123">FO5*0.00133322</f>
        <v>1.9265029</v>
      </c>
      <c r="FP4">
        <f t="shared" ref="FP4" si="124">FP5*0.00133322</f>
        <v>1.9331689999999999</v>
      </c>
      <c r="FQ4">
        <f t="shared" ref="FQ4" si="125">FQ5*0.00133322</f>
        <v>1.9398351</v>
      </c>
      <c r="FR4">
        <f t="shared" ref="FR4" si="126">FR5*0.00133322</f>
        <v>1.9465011999999999</v>
      </c>
      <c r="FS4">
        <f t="shared" ref="FS4" si="127">FS5*0.00133322</f>
        <v>1.9531673000000001</v>
      </c>
      <c r="FT4">
        <f t="shared" ref="FT4" si="128">FT5*0.00133322</f>
        <v>1.9598333999999999</v>
      </c>
      <c r="FU4">
        <f t="shared" ref="FU4" si="129">FU5*0.00133322</f>
        <v>1.9664995000000001</v>
      </c>
      <c r="FV4">
        <f t="shared" ref="FV4" si="130">FV5*0.00133322</f>
        <v>1.9731656</v>
      </c>
      <c r="FW4">
        <f t="shared" ref="FW4" si="131">FW5*0.00133322</f>
        <v>1.9798316999999999</v>
      </c>
      <c r="FX4">
        <f t="shared" ref="FX4" si="132">FX5*0.00133322</f>
        <v>1.9864978</v>
      </c>
      <c r="FY4">
        <f t="shared" ref="FY4" si="133">FY5*0.00133322</f>
        <v>1.9931638999999999</v>
      </c>
      <c r="FZ4">
        <f t="shared" ref="FZ4" si="134">FZ5*0.00133322</f>
        <v>1.99983</v>
      </c>
      <c r="GA4">
        <f t="shared" ref="GA4" si="135">GA5*0.00133322</f>
        <v>2.0064961000000001</v>
      </c>
      <c r="GB4">
        <f t="shared" ref="GB4" si="136">GB5*0.00133322</f>
        <v>2.0131622</v>
      </c>
      <c r="GC4">
        <f t="shared" ref="GC4" si="137">GC5*0.00133322</f>
        <v>2.0198282999999999</v>
      </c>
      <c r="GD4">
        <f t="shared" ref="GD4" si="138">GD5*0.00133322</f>
        <v>2.0264943999999998</v>
      </c>
      <c r="GE4">
        <f t="shared" ref="GE4" si="139">GE5*0.00133322</f>
        <v>2.0331605000000001</v>
      </c>
      <c r="GF4">
        <f t="shared" ref="GF4" si="140">GF5*0.00133322</f>
        <v>2.0398266</v>
      </c>
      <c r="GG4">
        <f t="shared" ref="GG4" si="141">GG5*0.00133322</f>
        <v>2.0464926999999999</v>
      </c>
      <c r="GH4">
        <f t="shared" ref="GH4" si="142">GH5*0.00133322</f>
        <v>2.0531587999999998</v>
      </c>
      <c r="GI4">
        <f t="shared" ref="GI4" si="143">GI5*0.00133322</f>
        <v>2.0598249000000002</v>
      </c>
      <c r="GJ4">
        <f t="shared" ref="GJ4" si="144">GJ5*0.00133322</f>
        <v>2.0664910000000001</v>
      </c>
      <c r="GK4">
        <f t="shared" ref="GK4" si="145">GK5*0.00133322</f>
        <v>2.0731571</v>
      </c>
      <c r="GL4">
        <f t="shared" ref="GL4" si="146">GL5*0.00133322</f>
        <v>2.0798231999999999</v>
      </c>
      <c r="GM4">
        <f t="shared" ref="GM4" si="147">GM5*0.00133322</f>
        <v>2.0864892999999998</v>
      </c>
      <c r="GN4">
        <f t="shared" ref="GN4" si="148">GN5*0.00133322</f>
        <v>2.0931554000000001</v>
      </c>
      <c r="GO4">
        <f t="shared" ref="GO4" si="149">GO5*0.00133322</f>
        <v>2.0998215</v>
      </c>
      <c r="GP4">
        <f t="shared" ref="GP4" si="150">GP5*0.00133322</f>
        <v>2.1064875999999999</v>
      </c>
      <c r="GQ4">
        <f t="shared" ref="GQ4" si="151">GQ5*0.00133322</f>
        <v>2.1131536999999998</v>
      </c>
      <c r="GR4">
        <f t="shared" ref="GR4" si="152">GR5*0.00133322</f>
        <v>2.1198198000000001</v>
      </c>
      <c r="GS4">
        <f t="shared" ref="GS4" si="153">GS5*0.00133322</f>
        <v>2.1264859</v>
      </c>
      <c r="GT4">
        <f t="shared" ref="GT4" si="154">GT5*0.00133322</f>
        <v>2.1331519999999999</v>
      </c>
      <c r="GU4">
        <f t="shared" ref="GU4" si="155">GU5*0.00133322</f>
        <v>2.1398180999999998</v>
      </c>
      <c r="GV4">
        <f t="shared" ref="GV4" si="156">GV5*0.00133322</f>
        <v>2.1464842000000002</v>
      </c>
      <c r="GW4">
        <f t="shared" ref="GW4" si="157">GW5*0.00133322</f>
        <v>2.1531503000000001</v>
      </c>
      <c r="GX4">
        <f t="shared" ref="GX4" si="158">GX5*0.00133322</f>
        <v>2.1598164</v>
      </c>
      <c r="GY4">
        <f t="shared" ref="GY4" si="159">GY5*0.00133322</f>
        <v>2.1664824999999999</v>
      </c>
      <c r="GZ4">
        <f t="shared" ref="GZ4" si="160">GZ5*0.00133322</f>
        <v>2.1731485999999998</v>
      </c>
      <c r="HA4">
        <f t="shared" ref="HA4" si="161">HA5*0.00133322</f>
        <v>2.1798147000000001</v>
      </c>
      <c r="HB4">
        <f t="shared" ref="HB4" si="162">HB5*0.00133322</f>
        <v>2.1864808</v>
      </c>
      <c r="HC4">
        <f t="shared" ref="HC4" si="163">HC5*0.00133322</f>
        <v>2.1931468999999999</v>
      </c>
      <c r="HD4">
        <f t="shared" ref="HD4" si="164">HD5*0.00133322</f>
        <v>2.1998129999999998</v>
      </c>
      <c r="HE4">
        <f t="shared" ref="HE4" si="165">HE5*0.00133322</f>
        <v>2.2064791000000001</v>
      </c>
      <c r="HF4">
        <f t="shared" ref="HF4" si="166">HF5*0.00133322</f>
        <v>2.2131452</v>
      </c>
      <c r="HG4">
        <f t="shared" ref="HG4" si="167">HG5*0.00133322</f>
        <v>2.2198112999999999</v>
      </c>
      <c r="HH4">
        <f t="shared" ref="HH4" si="168">HH5*0.00133322</f>
        <v>2.2264773999999998</v>
      </c>
      <c r="HI4">
        <f t="shared" ref="HI4" si="169">HI5*0.00133322</f>
        <v>2.2331435000000002</v>
      </c>
      <c r="HJ4">
        <f t="shared" ref="HJ4" si="170">HJ5*0.00133322</f>
        <v>2.2398096000000001</v>
      </c>
      <c r="HK4">
        <f t="shared" ref="HK4" si="171">HK5*0.00133322</f>
        <v>2.2464757</v>
      </c>
      <c r="HL4">
        <f t="shared" ref="HL4" si="172">HL5*0.00133322</f>
        <v>2.2531417999999999</v>
      </c>
      <c r="HM4">
        <f t="shared" ref="HM4" si="173">HM5*0.00133322</f>
        <v>2.2598078999999998</v>
      </c>
      <c r="HN4">
        <f t="shared" ref="HN4" si="174">HN5*0.00133322</f>
        <v>2.2664740000000001</v>
      </c>
      <c r="HO4">
        <f t="shared" ref="HO4" si="175">HO5*0.00133322</f>
        <v>2.2731401</v>
      </c>
      <c r="HP4">
        <f t="shared" ref="HP4" si="176">HP5*0.00133322</f>
        <v>2.2798061999999999</v>
      </c>
      <c r="HQ4">
        <f t="shared" ref="HQ4" si="177">HQ5*0.00133322</f>
        <v>2.2864722999999998</v>
      </c>
      <c r="HR4">
        <f t="shared" ref="HR4" si="178">HR5*0.00133322</f>
        <v>2.2931384000000001</v>
      </c>
      <c r="HS4">
        <f t="shared" ref="HS4" si="179">HS5*0.00133322</f>
        <v>2.2998045</v>
      </c>
      <c r="HT4">
        <f t="shared" ref="HT4" si="180">HT5*0.00133322</f>
        <v>2.3064705999999999</v>
      </c>
      <c r="HU4">
        <f t="shared" ref="HU4" si="181">HU5*0.00133322</f>
        <v>2.3131366999999998</v>
      </c>
      <c r="HV4">
        <f t="shared" ref="HV4" si="182">HV5*0.00133322</f>
        <v>2.3198028000000002</v>
      </c>
      <c r="HW4">
        <f t="shared" ref="HW4" si="183">HW5*0.00133322</f>
        <v>2.3264689000000001</v>
      </c>
      <c r="HX4">
        <f t="shared" ref="HX4" si="184">HX5*0.00133322</f>
        <v>2.333135</v>
      </c>
      <c r="HY4">
        <f t="shared" ref="HY4" si="185">HY5*0.00133322</f>
        <v>2.3398010999999999</v>
      </c>
      <c r="HZ4">
        <f t="shared" ref="HZ4" si="186">HZ5*0.00133322</f>
        <v>2.3464671999999998</v>
      </c>
      <c r="IA4">
        <f t="shared" ref="IA4" si="187">IA5*0.00133322</f>
        <v>2.3531333000000001</v>
      </c>
      <c r="IB4">
        <f t="shared" ref="IB4" si="188">IB5*0.00133322</f>
        <v>2.3597994</v>
      </c>
      <c r="IC4">
        <f t="shared" ref="IC4" si="189">IC5*0.00133322</f>
        <v>2.3664654999999999</v>
      </c>
      <c r="ID4">
        <f t="shared" ref="ID4" si="190">ID5*0.00133322</f>
        <v>2.3731315999999998</v>
      </c>
      <c r="IE4">
        <f t="shared" ref="IE4" si="191">IE5*0.00133322</f>
        <v>2.3797977000000001</v>
      </c>
      <c r="IF4">
        <f t="shared" ref="IF4" si="192">IF5*0.00133322</f>
        <v>2.3864638</v>
      </c>
      <c r="IG4">
        <f t="shared" ref="IG4" si="193">IG5*0.00133322</f>
        <v>2.3931298999999999</v>
      </c>
      <c r="IH4">
        <f t="shared" ref="IH4" si="194">IH5*0.00133322</f>
        <v>2.3997959999999998</v>
      </c>
      <c r="II4">
        <f t="shared" ref="II4" si="195">II5*0.00133322</f>
        <v>2.4064621000000002</v>
      </c>
      <c r="IJ4">
        <f t="shared" ref="IJ4" si="196">IJ5*0.00133322</f>
        <v>2.4131282000000001</v>
      </c>
      <c r="IK4">
        <f t="shared" ref="IK4" si="197">IK5*0.00133322</f>
        <v>2.4197943</v>
      </c>
      <c r="IL4">
        <f t="shared" ref="IL4" si="198">IL5*0.00133322</f>
        <v>2.4264603999999999</v>
      </c>
      <c r="IM4">
        <f t="shared" ref="IM4" si="199">IM5*0.00133322</f>
        <v>2.4331264999999997</v>
      </c>
      <c r="IN4">
        <f t="shared" ref="IN4" si="200">IN5*0.00133322</f>
        <v>2.4397926000000001</v>
      </c>
      <c r="IO4">
        <f t="shared" ref="IO4" si="201">IO5*0.00133322</f>
        <v>2.4464587</v>
      </c>
      <c r="IP4">
        <f t="shared" ref="IP4" si="202">IP5*0.00133322</f>
        <v>2.4531247999999999</v>
      </c>
      <c r="IQ4">
        <f t="shared" ref="IQ4" si="203">IQ5*0.00133322</f>
        <v>2.4597908999999998</v>
      </c>
      <c r="IR4">
        <f t="shared" ref="IR4" si="204">IR5*0.00133322</f>
        <v>2.4664570000000001</v>
      </c>
      <c r="IS4">
        <f t="shared" ref="IS4" si="205">IS5*0.00133322</f>
        <v>2.4731231</v>
      </c>
      <c r="IT4">
        <f t="shared" ref="IT4" si="206">IT5*0.00133322</f>
        <v>2.4797891999999999</v>
      </c>
      <c r="IU4">
        <f t="shared" ref="IU4" si="207">IU5*0.00133322</f>
        <v>2.4864552999999998</v>
      </c>
      <c r="IV4">
        <f t="shared" ref="IV4" si="208">IV5*0.00133322</f>
        <v>2.4931214000000002</v>
      </c>
      <c r="IW4">
        <f t="shared" ref="IW4" si="209">IW5*0.00133322</f>
        <v>2.4997875000000001</v>
      </c>
      <c r="IX4">
        <f t="shared" ref="IX4" si="210">IX5*0.00133322</f>
        <v>2.5064535999999999</v>
      </c>
      <c r="IY4">
        <f t="shared" ref="IY4" si="211">IY5*0.00133322</f>
        <v>2.5131196999999998</v>
      </c>
      <c r="IZ4">
        <f t="shared" ref="IZ4" si="212">IZ5*0.00133322</f>
        <v>2.5197857999999997</v>
      </c>
      <c r="JA4">
        <f t="shared" ref="JA4" si="213">JA5*0.00133322</f>
        <v>2.5264519000000001</v>
      </c>
      <c r="JB4">
        <f t="shared" ref="JB4" si="214">JB5*0.00133322</f>
        <v>2.533118</v>
      </c>
      <c r="JC4">
        <f t="shared" ref="JC4" si="215">JC5*0.00133322</f>
        <v>2.5397840999999999</v>
      </c>
      <c r="JD4">
        <f t="shared" ref="JD4" si="216">JD5*0.00133322</f>
        <v>2.5464501999999998</v>
      </c>
      <c r="JE4">
        <f t="shared" ref="JE4" si="217">JE5*0.00133322</f>
        <v>2.5531163000000001</v>
      </c>
      <c r="JF4">
        <f t="shared" ref="JF4" si="218">JF5*0.00133322</f>
        <v>2.5597824</v>
      </c>
      <c r="JG4">
        <f t="shared" ref="JG4" si="219">JG5*0.00133322</f>
        <v>2.5664484999999999</v>
      </c>
      <c r="JH4">
        <f t="shared" ref="JH4" si="220">JH5*0.00133322</f>
        <v>2.5731145999999998</v>
      </c>
      <c r="JI4">
        <f t="shared" ref="JI4" si="221">JI5*0.00133322</f>
        <v>2.5797807000000001</v>
      </c>
      <c r="JJ4">
        <f t="shared" ref="JJ4" si="222">JJ5*0.00133322</f>
        <v>2.5864468</v>
      </c>
      <c r="JK4">
        <f t="shared" ref="JK4" si="223">JK5*0.00133322</f>
        <v>2.5931128999999999</v>
      </c>
      <c r="JL4">
        <f t="shared" ref="JL4" si="224">JL5*0.00133322</f>
        <v>2.5997789999999998</v>
      </c>
      <c r="JM4">
        <f t="shared" ref="JM4" si="225">JM5*0.00133322</f>
        <v>2.6064450999999997</v>
      </c>
      <c r="JN4">
        <f t="shared" ref="JN4" si="226">JN5*0.00133322</f>
        <v>2.6131112000000001</v>
      </c>
      <c r="JO4">
        <f t="shared" ref="JO4" si="227">JO5*0.00133322</f>
        <v>2.6197773</v>
      </c>
      <c r="JP4">
        <f t="shared" ref="JP4" si="228">JP5*0.00133322</f>
        <v>2.6264433999999999</v>
      </c>
      <c r="JQ4">
        <f t="shared" ref="JQ4" si="229">JQ5*0.00133322</f>
        <v>2.6331094999999998</v>
      </c>
      <c r="JR4">
        <f t="shared" ref="JR4" si="230">JR5*0.00133322</f>
        <v>2.6397756000000001</v>
      </c>
      <c r="JS4">
        <f t="shared" ref="JS4" si="231">JS5*0.00133322</f>
        <v>2.6464417</v>
      </c>
      <c r="JT4">
        <f t="shared" ref="JT4" si="232">JT5*0.00133322</f>
        <v>2.6531077999999999</v>
      </c>
      <c r="JU4">
        <f t="shared" ref="JU4" si="233">JU5*0.00133322</f>
        <v>2.6597738999999998</v>
      </c>
      <c r="JV4">
        <f t="shared" ref="JV4" si="234">JV5*0.00133322</f>
        <v>2.6664400000000001</v>
      </c>
      <c r="JW4">
        <f t="shared" ref="JW4" si="235">JW5*0.00133322</f>
        <v>2.6731061</v>
      </c>
      <c r="JX4">
        <f t="shared" ref="JX4" si="236">JX5*0.00133322</f>
        <v>2.6797721999999999</v>
      </c>
      <c r="JY4">
        <f t="shared" ref="JY4" si="237">JY5*0.00133322</f>
        <v>2.6864382999999998</v>
      </c>
      <c r="JZ4">
        <f t="shared" ref="JZ4" si="238">JZ5*0.00133322</f>
        <v>2.6931044000000002</v>
      </c>
      <c r="KA4">
        <f t="shared" ref="KA4" si="239">KA5*0.00133322</f>
        <v>2.6997705000000001</v>
      </c>
      <c r="KB4">
        <f t="shared" ref="KB4" si="240">KB5*0.00133322</f>
        <v>2.7064366</v>
      </c>
      <c r="KC4">
        <f t="shared" ref="KC4" si="241">KC5*0.00133322</f>
        <v>2.7131026999999999</v>
      </c>
      <c r="KD4">
        <f t="shared" ref="KD4" si="242">KD5*0.00133322</f>
        <v>2.7197687999999998</v>
      </c>
      <c r="KE4">
        <f t="shared" ref="KE4" si="243">KE5*0.00133322</f>
        <v>2.7264349000000001</v>
      </c>
      <c r="KF4">
        <f t="shared" ref="KF4" si="244">KF5*0.00133322</f>
        <v>2.733101</v>
      </c>
      <c r="KG4">
        <f t="shared" ref="KG4" si="245">KG5*0.00133322</f>
        <v>2.7397670999999999</v>
      </c>
      <c r="KH4">
        <f t="shared" ref="KH4" si="246">KH5*0.00133322</f>
        <v>2.7464331999999998</v>
      </c>
      <c r="KI4">
        <f t="shared" ref="KI4" si="247">KI5*0.00133322</f>
        <v>2.7530993000000001</v>
      </c>
      <c r="KJ4">
        <f t="shared" ref="KJ4" si="248">KJ5*0.00133322</f>
        <v>2.7597654</v>
      </c>
      <c r="KK4">
        <f t="shared" ref="KK4" si="249">KK5*0.00133322</f>
        <v>2.7664314999999999</v>
      </c>
      <c r="KL4">
        <f t="shared" ref="KL4" si="250">KL5*0.00133322</f>
        <v>2.7730975999999998</v>
      </c>
      <c r="KM4">
        <f t="shared" ref="KM4" si="251">KM5*0.00133322</f>
        <v>2.7797637000000002</v>
      </c>
      <c r="KN4">
        <f t="shared" ref="KN4" si="252">KN5*0.00133322</f>
        <v>2.7864298000000001</v>
      </c>
      <c r="KO4">
        <f t="shared" ref="KO4" si="253">KO5*0.00133322</f>
        <v>2.7930959</v>
      </c>
      <c r="KP4">
        <f t="shared" ref="KP4" si="254">KP5*0.00133322</f>
        <v>2.7997619999999999</v>
      </c>
      <c r="KQ4">
        <f t="shared" ref="KQ4" si="255">KQ5*0.00133322</f>
        <v>2.8064280999999998</v>
      </c>
      <c r="KR4">
        <f t="shared" ref="KR4" si="256">KR5*0.00133322</f>
        <v>2.8130942000000001</v>
      </c>
      <c r="KS4">
        <f t="shared" ref="KS4" si="257">KS5*0.00133322</f>
        <v>2.8197603</v>
      </c>
      <c r="KT4">
        <f t="shared" ref="KT4" si="258">KT5*0.00133322</f>
        <v>2.8264263999999999</v>
      </c>
      <c r="KU4">
        <f t="shared" ref="KU4" si="259">KU5*0.00133322</f>
        <v>2.8330924999999998</v>
      </c>
      <c r="KV4">
        <f t="shared" ref="KV4" si="260">KV5*0.00133322</f>
        <v>2.8397586000000001</v>
      </c>
      <c r="KW4">
        <f t="shared" ref="KW4" si="261">KW5*0.00133322</f>
        <v>2.8464247</v>
      </c>
      <c r="KX4">
        <f t="shared" ref="KX4" si="262">KX5*0.00133322</f>
        <v>2.8530907999999999</v>
      </c>
      <c r="KY4">
        <f t="shared" ref="KY4" si="263">KY5*0.00133322</f>
        <v>2.8597568999999998</v>
      </c>
      <c r="KZ4">
        <f t="shared" ref="KZ4" si="264">KZ5*0.00133322</f>
        <v>2.8664230000000002</v>
      </c>
      <c r="LA4">
        <f t="shared" ref="LA4" si="265">LA5*0.00133322</f>
        <v>2.8730891000000001</v>
      </c>
      <c r="LB4">
        <f t="shared" ref="LB4" si="266">LB5*0.00133322</f>
        <v>2.8797552</v>
      </c>
      <c r="LC4">
        <f t="shared" ref="LC4" si="267">LC5*0.00133322</f>
        <v>2.8864212999999999</v>
      </c>
      <c r="LD4">
        <f t="shared" ref="LD4" si="268">LD5*0.00133322</f>
        <v>2.8930873999999998</v>
      </c>
      <c r="LE4">
        <f t="shared" ref="LE4" si="269">LE5*0.00133322</f>
        <v>2.8997535000000001</v>
      </c>
      <c r="LF4">
        <f t="shared" ref="LF4" si="270">LF5*0.00133322</f>
        <v>2.9064196</v>
      </c>
      <c r="LG4">
        <f t="shared" ref="LG4" si="271">LG5*0.00133322</f>
        <v>2.9130856999999999</v>
      </c>
      <c r="LH4">
        <f t="shared" ref="LH4" si="272">LH5*0.00133322</f>
        <v>2.9197517999999998</v>
      </c>
      <c r="LI4">
        <f t="shared" ref="LI4" si="273">LI5*0.00133322</f>
        <v>2.9264179000000001</v>
      </c>
      <c r="LJ4">
        <f t="shared" ref="LJ4" si="274">LJ5*0.00133322</f>
        <v>2.933084</v>
      </c>
      <c r="LK4">
        <f t="shared" ref="LK4" si="275">LK5*0.00133322</f>
        <v>2.9397500999999999</v>
      </c>
      <c r="LL4">
        <f t="shared" ref="LL4" si="276">LL5*0.00133322</f>
        <v>2.9464161999999998</v>
      </c>
      <c r="LM4">
        <f t="shared" ref="LM4" si="277">LM5*0.00133322</f>
        <v>2.9530823000000002</v>
      </c>
      <c r="LN4">
        <f t="shared" ref="LN4" si="278">LN5*0.00133322</f>
        <v>2.9597484000000001</v>
      </c>
      <c r="LO4">
        <f t="shared" ref="LO4" si="279">LO5*0.00133322</f>
        <v>2.9664145</v>
      </c>
      <c r="LP4">
        <f t="shared" ref="LP4" si="280">LP5*0.00133322</f>
        <v>2.9730805999999999</v>
      </c>
      <c r="LQ4">
        <f t="shared" ref="LQ4" si="281">LQ5*0.00133322</f>
        <v>2.9797466999999997</v>
      </c>
      <c r="LR4">
        <f t="shared" ref="LR4" si="282">LR5*0.00133322</f>
        <v>2.9864128000000001</v>
      </c>
      <c r="LS4">
        <f t="shared" ref="LS4" si="283">LS5*0.00133322</f>
        <v>2.9930789</v>
      </c>
      <c r="LT4">
        <f t="shared" ref="LT4" si="284">LT5*0.00133322</f>
        <v>2.9997449999999999</v>
      </c>
      <c r="LU4">
        <f t="shared" ref="LU4" si="285">LU5*0.00133322</f>
        <v>3.0064110999999998</v>
      </c>
      <c r="LV4">
        <f t="shared" ref="LV4" si="286">LV5*0.00133322</f>
        <v>3.0130772000000001</v>
      </c>
      <c r="LW4">
        <f t="shared" ref="LW4" si="287">LW5*0.00133322</f>
        <v>3.0197433</v>
      </c>
      <c r="LX4">
        <f t="shared" ref="LX4" si="288">LX5*0.00133322</f>
        <v>3.0264093999999999</v>
      </c>
      <c r="LY4">
        <f t="shared" ref="LY4" si="289">LY5*0.00133322</f>
        <v>3.0330754999999998</v>
      </c>
      <c r="LZ4">
        <f t="shared" ref="LZ4" si="290">LZ5*0.00133322</f>
        <v>3.0397416000000002</v>
      </c>
      <c r="MA4">
        <f t="shared" ref="MA4" si="291">MA5*0.00133322</f>
        <v>3.0464077000000001</v>
      </c>
      <c r="MB4">
        <f t="shared" ref="MB4" si="292">MB5*0.00133322</f>
        <v>3.0530737999999999</v>
      </c>
      <c r="MC4">
        <f t="shared" ref="MC4" si="293">MC5*0.00133322</f>
        <v>3.0597398999999998</v>
      </c>
      <c r="MD4">
        <f t="shared" ref="MD4" si="294">MD5*0.00133322</f>
        <v>3.0664059999999997</v>
      </c>
      <c r="ME4">
        <f t="shared" ref="ME4" si="295">ME5*0.00133322</f>
        <v>3.0730721000000001</v>
      </c>
      <c r="MF4">
        <f t="shared" ref="MF4" si="296">MF5*0.00133322</f>
        <v>3.0797382</v>
      </c>
      <c r="MG4">
        <f t="shared" ref="MG4" si="297">MG5*0.00133322</f>
        <v>3.0864042999999999</v>
      </c>
      <c r="MH4">
        <f t="shared" ref="MH4" si="298">MH5*0.00133322</f>
        <v>3.0930703999999998</v>
      </c>
      <c r="MI4">
        <f t="shared" ref="MI4" si="299">MI5*0.00133322</f>
        <v>3.0997365000000001</v>
      </c>
      <c r="MJ4">
        <f t="shared" ref="MJ4" si="300">MJ5*0.00133322</f>
        <v>3.1064026</v>
      </c>
      <c r="MK4">
        <f t="shared" ref="MK4" si="301">MK5*0.00133322</f>
        <v>3.1130686999999999</v>
      </c>
      <c r="ML4">
        <f t="shared" ref="ML4" si="302">ML5*0.00133322</f>
        <v>3.1197347999999998</v>
      </c>
      <c r="MM4">
        <f t="shared" ref="MM4" si="303">MM5*0.00133322</f>
        <v>3.1264009000000001</v>
      </c>
      <c r="MN4">
        <f t="shared" ref="MN4" si="304">MN5*0.00133322</f>
        <v>3.133067</v>
      </c>
      <c r="MO4">
        <f t="shared" ref="MO4" si="305">MO5*0.00133322</f>
        <v>3.1397330999999999</v>
      </c>
      <c r="MP4">
        <f t="shared" ref="MP4" si="306">MP5*0.00133322</f>
        <v>3.1463991999999998</v>
      </c>
      <c r="MQ4">
        <f t="shared" ref="MQ4" si="307">MQ5*0.00133322</f>
        <v>3.1530652999999997</v>
      </c>
      <c r="MR4">
        <f t="shared" ref="MR4" si="308">MR5*0.00133322</f>
        <v>3.1597314000000001</v>
      </c>
      <c r="MS4">
        <f t="shared" ref="MS4" si="309">MS5*0.00133322</f>
        <v>3.1663975</v>
      </c>
      <c r="MT4">
        <f t="shared" ref="MT4" si="310">MT5*0.00133322</f>
        <v>3.1730635999999999</v>
      </c>
      <c r="MU4">
        <f t="shared" ref="MU4" si="311">MU5*0.00133322</f>
        <v>3.1797296999999998</v>
      </c>
      <c r="MV4">
        <f t="shared" ref="MV4" si="312">MV5*0.00133322</f>
        <v>3.1863958000000001</v>
      </c>
      <c r="MW4">
        <f t="shared" ref="MW4" si="313">MW5*0.00133322</f>
        <v>3.1930619</v>
      </c>
      <c r="MX4">
        <f t="shared" ref="MX4" si="314">MX5*0.00133322</f>
        <v>3.1997279999999999</v>
      </c>
      <c r="MY4">
        <f t="shared" ref="MY4" si="315">MY5*0.00133322</f>
        <v>3.2063940999999998</v>
      </c>
      <c r="MZ4">
        <f t="shared" ref="MZ4" si="316">MZ5*0.00133322</f>
        <v>3.2130602000000001</v>
      </c>
      <c r="NA4">
        <f t="shared" ref="NA4" si="317">NA5*0.00133322</f>
        <v>3.2197263</v>
      </c>
      <c r="NB4">
        <f t="shared" ref="NB4" si="318">NB5*0.00133322</f>
        <v>3.2263923999999999</v>
      </c>
      <c r="NC4">
        <f t="shared" ref="NC4" si="319">NC5*0.00133322</f>
        <v>3.2330584999999998</v>
      </c>
      <c r="ND4">
        <f t="shared" ref="ND4" si="320">ND5*0.00133322</f>
        <v>3.2397245999999997</v>
      </c>
      <c r="NE4">
        <f t="shared" ref="NE4" si="321">NE5*0.00133322</f>
        <v>3.2463907000000001</v>
      </c>
      <c r="NF4">
        <f t="shared" ref="NF4" si="322">NF5*0.00133322</f>
        <v>3.2530568</v>
      </c>
      <c r="NG4">
        <f t="shared" ref="NG4" si="323">NG5*0.00133322</f>
        <v>3.2597228999999999</v>
      </c>
      <c r="NH4">
        <f t="shared" ref="NH4" si="324">NH5*0.00133322</f>
        <v>3.2663889999999998</v>
      </c>
      <c r="NI4">
        <f t="shared" ref="NI4" si="325">NI5*0.00133322</f>
        <v>3.2730551000000001</v>
      </c>
      <c r="NJ4">
        <f t="shared" ref="NJ4" si="326">NJ5*0.00133322</f>
        <v>3.2797212</v>
      </c>
      <c r="NK4">
        <f t="shared" ref="NK4" si="327">NK5*0.00133322</f>
        <v>3.2863872999999999</v>
      </c>
      <c r="NL4">
        <f t="shared" ref="NL4" si="328">NL5*0.00133322</f>
        <v>3.2930533999999998</v>
      </c>
      <c r="NM4">
        <f t="shared" ref="NM4" si="329">NM5*0.00133322</f>
        <v>3.2997195000000001</v>
      </c>
      <c r="NN4">
        <f t="shared" ref="NN4" si="330">NN5*0.00133322</f>
        <v>3.3063856</v>
      </c>
      <c r="NO4">
        <f t="shared" ref="NO4" si="331">NO5*0.00133322</f>
        <v>3.3130516999999999</v>
      </c>
      <c r="NP4">
        <f t="shared" ref="NP4" si="332">NP5*0.00133322</f>
        <v>3.3197177999999998</v>
      </c>
      <c r="NQ4">
        <f t="shared" ref="NQ4" si="333">NQ5*0.00133322</f>
        <v>3.3263838999999997</v>
      </c>
      <c r="NR4">
        <f t="shared" ref="NR4" si="334">NR5*0.00133322</f>
        <v>3.3330500000000001</v>
      </c>
      <c r="NS4">
        <f t="shared" ref="NS4" si="335">NS5*0.00133322</f>
        <v>3.3397161</v>
      </c>
      <c r="NT4">
        <f t="shared" ref="NT4" si="336">NT5*0.00133322</f>
        <v>3.3463821999999999</v>
      </c>
      <c r="NU4">
        <f t="shared" ref="NU4" si="337">NU5*0.00133322</f>
        <v>3.3530482999999998</v>
      </c>
      <c r="NV4">
        <f t="shared" ref="NV4" si="338">NV5*0.00133322</f>
        <v>3.3597144000000001</v>
      </c>
      <c r="NW4">
        <f t="shared" ref="NW4" si="339">NW5*0.00133322</f>
        <v>3.3663805</v>
      </c>
      <c r="NX4">
        <f t="shared" ref="NX4" si="340">NX5*0.00133322</f>
        <v>3.3730465999999999</v>
      </c>
      <c r="NY4">
        <f t="shared" ref="NY4" si="341">NY5*0.00133322</f>
        <v>3.3797126999999998</v>
      </c>
      <c r="NZ4">
        <f t="shared" ref="NZ4" si="342">NZ5*0.00133322</f>
        <v>3.3863788000000001</v>
      </c>
      <c r="OA4">
        <f t="shared" ref="OA4" si="343">OA5*0.00133322</f>
        <v>3.3930449</v>
      </c>
      <c r="OB4">
        <f t="shared" ref="OB4" si="344">OB5*0.00133322</f>
        <v>3.3997109999999999</v>
      </c>
      <c r="OC4">
        <f t="shared" ref="OC4" si="345">OC5*0.00133322</f>
        <v>3.4063770999999998</v>
      </c>
      <c r="OD4">
        <f t="shared" ref="OD4" si="346">OD5*0.00133322</f>
        <v>3.4130431999999997</v>
      </c>
      <c r="OE4">
        <f t="shared" ref="OE4" si="347">OE5*0.00133322</f>
        <v>3.4197093000000001</v>
      </c>
      <c r="OF4">
        <f t="shared" ref="OF4" si="348">OF5*0.00133322</f>
        <v>3.4263754</v>
      </c>
      <c r="OG4">
        <f t="shared" ref="OG4" si="349">OG5*0.00133322</f>
        <v>3.4330414999999999</v>
      </c>
      <c r="OH4">
        <f t="shared" ref="OH4" si="350">OH5*0.00133322</f>
        <v>3.4397075999999998</v>
      </c>
      <c r="OI4">
        <f t="shared" ref="OI4" si="351">OI5*0.00133322</f>
        <v>3.4463737000000001</v>
      </c>
      <c r="OJ4">
        <f t="shared" ref="OJ4" si="352">OJ5*0.00133322</f>
        <v>3.4530398</v>
      </c>
      <c r="OK4">
        <f t="shared" ref="OK4" si="353">OK5*0.00133322</f>
        <v>3.4597058999999999</v>
      </c>
      <c r="OL4">
        <f t="shared" ref="OL4" si="354">OL5*0.00133322</f>
        <v>3.4663719999999998</v>
      </c>
      <c r="OM4">
        <f t="shared" ref="OM4" si="355">OM5*0.00133322</f>
        <v>3.4730381000000001</v>
      </c>
      <c r="ON4">
        <f t="shared" ref="ON4" si="356">ON5*0.00133322</f>
        <v>3.4797042</v>
      </c>
      <c r="OO4">
        <f t="shared" ref="OO4" si="357">OO5*0.00133322</f>
        <v>3.4863702999999999</v>
      </c>
      <c r="OP4">
        <f t="shared" ref="OP4" si="358">OP5*0.00133322</f>
        <v>3.4930363999999998</v>
      </c>
      <c r="OQ4">
        <f t="shared" ref="OQ4" si="359">OQ5*0.00133322</f>
        <v>3.4997025000000002</v>
      </c>
      <c r="OR4">
        <f t="shared" ref="OR4" si="360">OR5*0.00133322</f>
        <v>3.5063686000000001</v>
      </c>
      <c r="OS4">
        <f t="shared" ref="OS4" si="361">OS5*0.00133322</f>
        <v>3.5130347</v>
      </c>
      <c r="OT4">
        <f t="shared" ref="OT4" si="362">OT5*0.00133322</f>
        <v>3.5197007999999999</v>
      </c>
      <c r="OU4">
        <f t="shared" ref="OU4" si="363">OU5*0.00133322</f>
        <v>3.5263668999999997</v>
      </c>
      <c r="OV4">
        <f t="shared" ref="OV4" si="364">OV5*0.00133322</f>
        <v>3.5330330000000001</v>
      </c>
      <c r="OW4">
        <f t="shared" ref="OW4" si="365">OW5*0.00133322</f>
        <v>3.5396991</v>
      </c>
      <c r="OX4">
        <f t="shared" ref="OX4" si="366">OX5*0.00133322</f>
        <v>3.5463651999999999</v>
      </c>
      <c r="OY4">
        <f t="shared" ref="OY4" si="367">OY5*0.00133322</f>
        <v>3.5530312999999998</v>
      </c>
      <c r="OZ4">
        <f t="shared" ref="OZ4" si="368">OZ5*0.00133322</f>
        <v>3.5596974000000001</v>
      </c>
      <c r="PA4">
        <f t="shared" ref="PA4" si="369">PA5*0.00133322</f>
        <v>3.5663635</v>
      </c>
      <c r="PB4">
        <f t="shared" ref="PB4" si="370">PB5*0.00133322</f>
        <v>3.5730295999999999</v>
      </c>
      <c r="PC4">
        <f t="shared" ref="PC4" si="371">PC5*0.00133322</f>
        <v>3.5796956999999998</v>
      </c>
      <c r="PD4">
        <f t="shared" ref="PD4" si="372">PD5*0.00133322</f>
        <v>3.5863618000000002</v>
      </c>
      <c r="PE4">
        <f t="shared" ref="PE4" si="373">PE5*0.00133322</f>
        <v>3.5930279000000001</v>
      </c>
      <c r="PF4">
        <f t="shared" ref="PF4" si="374">PF5*0.00133322</f>
        <v>3.5996939999999999</v>
      </c>
      <c r="PG4">
        <f t="shared" ref="PG4" si="375">PG5*0.00133322</f>
        <v>3.6063600999999998</v>
      </c>
      <c r="PH4">
        <f t="shared" ref="PH4" si="376">PH5*0.00133322</f>
        <v>3.6130261999999997</v>
      </c>
      <c r="PI4">
        <f t="shared" ref="PI4" si="377">PI5*0.00133322</f>
        <v>3.6196923000000001</v>
      </c>
      <c r="PJ4">
        <f t="shared" ref="PJ4" si="378">PJ5*0.00133322</f>
        <v>3.6263584</v>
      </c>
      <c r="PK4">
        <f t="shared" ref="PK4" si="379">PK5*0.00133322</f>
        <v>3.6330244999999999</v>
      </c>
      <c r="PL4">
        <f t="shared" ref="PL4" si="380">PL5*0.00133322</f>
        <v>3.6396905999999998</v>
      </c>
      <c r="PM4">
        <f t="shared" ref="PM4" si="381">PM5*0.00133322</f>
        <v>3.6463567000000001</v>
      </c>
      <c r="PN4">
        <f t="shared" ref="PN4" si="382">PN5*0.00133322</f>
        <v>3.6530228</v>
      </c>
      <c r="PO4">
        <f t="shared" ref="PO4" si="383">PO5*0.00133322</f>
        <v>3.6596888999999999</v>
      </c>
      <c r="PP4">
        <f t="shared" ref="PP4" si="384">PP5*0.00133322</f>
        <v>3.6663549999999998</v>
      </c>
      <c r="PQ4">
        <f t="shared" ref="PQ4" si="385">PQ5*0.00133322</f>
        <v>3.6730211000000001</v>
      </c>
      <c r="PR4">
        <f t="shared" ref="PR4" si="386">PR5*0.00133322</f>
        <v>3.6796872</v>
      </c>
      <c r="PS4">
        <f t="shared" ref="PS4" si="387">PS5*0.00133322</f>
        <v>3.6863532999999999</v>
      </c>
      <c r="PT4">
        <f t="shared" ref="PT4" si="388">PT5*0.00133322</f>
        <v>3.6930193999999998</v>
      </c>
      <c r="PU4">
        <f t="shared" ref="PU4" si="389">PU5*0.00133322</f>
        <v>3.6996854999999997</v>
      </c>
      <c r="PV4">
        <f t="shared" ref="PV4" si="390">PV5*0.00133322</f>
        <v>3.7063516000000001</v>
      </c>
      <c r="PW4">
        <f t="shared" ref="PW4" si="391">PW5*0.00133322</f>
        <v>3.7130177</v>
      </c>
      <c r="PX4">
        <f t="shared" ref="PX4" si="392">PX5*0.00133322</f>
        <v>3.7196837999999999</v>
      </c>
      <c r="PY4">
        <f t="shared" ref="PY4" si="393">PY5*0.00133322</f>
        <v>3.7263498999999998</v>
      </c>
      <c r="PZ4">
        <f t="shared" ref="PZ4" si="394">PZ5*0.00133322</f>
        <v>3.7330160000000001</v>
      </c>
      <c r="QA4">
        <f t="shared" ref="QA4" si="395">QA5*0.00133322</f>
        <v>3.7396821</v>
      </c>
      <c r="QB4">
        <f t="shared" ref="QB4" si="396">QB5*0.00133322</f>
        <v>3.7463481999999999</v>
      </c>
      <c r="QC4">
        <f t="shared" ref="QC4" si="397">QC5*0.00133322</f>
        <v>3.7530142999999998</v>
      </c>
      <c r="QD4">
        <f t="shared" ref="QD4" si="398">QD5*0.00133322</f>
        <v>3.7596804000000001</v>
      </c>
      <c r="QE4">
        <f t="shared" ref="QE4" si="399">QE5*0.00133322</f>
        <v>3.7663465</v>
      </c>
      <c r="QF4">
        <f t="shared" ref="QF4" si="400">QF5*0.00133322</f>
        <v>3.7730125999999999</v>
      </c>
      <c r="QG4">
        <f t="shared" ref="QG4" si="401">QG5*0.00133322</f>
        <v>3.7796786999999998</v>
      </c>
      <c r="QH4">
        <f t="shared" ref="QH4" si="402">QH5*0.00133322</f>
        <v>3.7863447999999997</v>
      </c>
      <c r="QI4">
        <f t="shared" ref="QI4" si="403">QI5*0.00133322</f>
        <v>3.7930109000000001</v>
      </c>
      <c r="QJ4">
        <f t="shared" ref="QJ4" si="404">QJ5*0.00133322</f>
        <v>3.799677</v>
      </c>
      <c r="QK4">
        <f t="shared" ref="QK4" si="405">QK5*0.00133322</f>
        <v>3.8063430999999999</v>
      </c>
      <c r="QL4">
        <f t="shared" ref="QL4" si="406">QL5*0.00133322</f>
        <v>3.8130091999999998</v>
      </c>
      <c r="QM4">
        <f t="shared" ref="QM4" si="407">QM5*0.00133322</f>
        <v>3.8196753000000001</v>
      </c>
      <c r="QN4">
        <f t="shared" ref="QN4" si="408">QN5*0.00133322</f>
        <v>3.8263414</v>
      </c>
      <c r="QO4">
        <f t="shared" ref="QO4" si="409">QO5*0.00133322</f>
        <v>3.8330074999999999</v>
      </c>
      <c r="QP4">
        <f t="shared" ref="QP4" si="410">QP5*0.00133322</f>
        <v>3.8396735999999998</v>
      </c>
      <c r="QQ4">
        <f t="shared" ref="QQ4" si="411">QQ5*0.00133322</f>
        <v>3.8463397000000001</v>
      </c>
      <c r="QR4">
        <f t="shared" ref="QR4" si="412">QR5*0.00133322</f>
        <v>3.8530058</v>
      </c>
      <c r="QS4">
        <f t="shared" ref="QS4" si="413">QS5*0.00133322</f>
        <v>3.8596718999999999</v>
      </c>
      <c r="QT4">
        <f t="shared" ref="QT4" si="414">QT5*0.00133322</f>
        <v>3.8663379999999998</v>
      </c>
      <c r="QU4">
        <f t="shared" ref="QU4" si="415">QU5*0.00133322</f>
        <v>3.8730040999999997</v>
      </c>
      <c r="QV4">
        <f t="shared" ref="QV4" si="416">QV5*0.00133322</f>
        <v>3.8796702000000001</v>
      </c>
      <c r="QW4">
        <f t="shared" ref="QW4" si="417">QW5*0.00133322</f>
        <v>3.8863363</v>
      </c>
      <c r="QX4">
        <f t="shared" ref="QX4" si="418">QX5*0.00133322</f>
        <v>3.8930023999999999</v>
      </c>
      <c r="QY4">
        <f t="shared" ref="QY4" si="419">QY5*0.00133322</f>
        <v>3.8996684999999998</v>
      </c>
      <c r="QZ4">
        <f t="shared" ref="QZ4" si="420">QZ5*0.00133322</f>
        <v>3.9063346000000001</v>
      </c>
      <c r="RA4">
        <f t="shared" ref="RA4" si="421">RA5*0.00133322</f>
        <v>3.9130007</v>
      </c>
      <c r="RB4">
        <f t="shared" ref="RB4" si="422">RB5*0.00133322</f>
        <v>3.9196667999999999</v>
      </c>
      <c r="RC4">
        <f t="shared" ref="RC4" si="423">RC5*0.00133322</f>
        <v>3.9263328999999998</v>
      </c>
      <c r="RD4">
        <f t="shared" ref="RD4" si="424">RD5*0.00133322</f>
        <v>3.9329990000000001</v>
      </c>
      <c r="RE4">
        <f t="shared" ref="RE4" si="425">RE5*0.00133322</f>
        <v>3.9396651</v>
      </c>
      <c r="RF4">
        <f t="shared" ref="RF4" si="426">RF5*0.00133322</f>
        <v>3.9463311999999999</v>
      </c>
      <c r="RG4">
        <f t="shared" ref="RG4" si="427">RG5*0.00133322</f>
        <v>3.9529972999999998</v>
      </c>
      <c r="RH4">
        <f t="shared" ref="RH4" si="428">RH5*0.00133322</f>
        <v>3.9596633999999997</v>
      </c>
      <c r="RI4">
        <f t="shared" ref="RI4" si="429">RI5*0.00133322</f>
        <v>3.9663295000000001</v>
      </c>
      <c r="RJ4">
        <f t="shared" ref="RJ4" si="430">RJ5*0.00133322</f>
        <v>3.9729956</v>
      </c>
      <c r="RK4">
        <f t="shared" ref="RK4" si="431">RK5*0.00133322</f>
        <v>3.9796616999999999</v>
      </c>
      <c r="RL4">
        <f t="shared" ref="RL4" si="432">RL5*0.00133322</f>
        <v>3.9863277999999998</v>
      </c>
      <c r="RM4">
        <f t="shared" ref="RM4" si="433">RM5*0.00133322</f>
        <v>3.9929939000000001</v>
      </c>
      <c r="RN4">
        <f t="shared" ref="RN4" si="434">RN5*0.00133322</f>
        <v>3.99966</v>
      </c>
      <c r="RO4">
        <f t="shared" ref="RO4" si="435">RO5*0.00133322</f>
        <v>4.0063260999999999</v>
      </c>
      <c r="RP4">
        <f t="shared" ref="RP4" si="436">RP5*0.00133322</f>
        <v>4.0129922000000002</v>
      </c>
      <c r="RQ4">
        <f t="shared" ref="RQ4" si="437">RQ5*0.00133322</f>
        <v>4.0196582999999997</v>
      </c>
      <c r="RR4">
        <f t="shared" ref="RR4" si="438">RR5*0.00133322</f>
        <v>4.0263244</v>
      </c>
      <c r="RS4">
        <f t="shared" ref="RS4" si="439">RS5*0.00133322</f>
        <v>4.0329905000000004</v>
      </c>
      <c r="RT4">
        <f t="shared" ref="RT4" si="440">RT5*0.00133322</f>
        <v>4.0396565999999998</v>
      </c>
      <c r="RU4">
        <f t="shared" ref="RU4" si="441">RU5*0.00133322</f>
        <v>4.0463227000000002</v>
      </c>
      <c r="RV4">
        <f t="shared" ref="RV4" si="442">RV5*0.00133322</f>
        <v>4.0529887999999996</v>
      </c>
      <c r="RW4">
        <f t="shared" ref="RW4" si="443">RW5*0.00133322</f>
        <v>4.0596549</v>
      </c>
      <c r="RX4">
        <f t="shared" ref="RX4" si="444">RX5*0.00133322</f>
        <v>4.0663210000000003</v>
      </c>
      <c r="RY4">
        <f t="shared" ref="RY4" si="445">RY5*0.00133322</f>
        <v>4.0729870999999997</v>
      </c>
      <c r="RZ4">
        <f t="shared" ref="RZ4" si="446">RZ5*0.00133322</f>
        <v>4.0796532000000001</v>
      </c>
      <c r="SA4">
        <f t="shared" ref="SA4" si="447">SA5*0.00133322</f>
        <v>4.0863192999999995</v>
      </c>
      <c r="SB4">
        <f t="shared" ref="SB4" si="448">SB5*0.00133322</f>
        <v>4.0929853999999999</v>
      </c>
      <c r="SC4">
        <f t="shared" ref="SC4" si="449">SC5*0.00133322</f>
        <v>4.0996515000000002</v>
      </c>
      <c r="SD4">
        <f t="shared" ref="SD4" si="450">SD5*0.00133322</f>
        <v>4.1063175999999997</v>
      </c>
      <c r="SE4">
        <f t="shared" ref="SE4" si="451">SE5*0.00133322</f>
        <v>4.1129837</v>
      </c>
      <c r="SF4">
        <f t="shared" ref="SF4" si="452">SF5*0.00133322</f>
        <v>4.1196498000000004</v>
      </c>
      <c r="SG4">
        <f t="shared" ref="SG4" si="453">SG5*0.00133322</f>
        <v>4.1263158999999998</v>
      </c>
      <c r="SH4">
        <f t="shared" ref="SH4" si="454">SH5*0.00133322</f>
        <v>4.1329820000000002</v>
      </c>
      <c r="SI4">
        <f t="shared" ref="SI4" si="455">SI5*0.00133322</f>
        <v>4.1396480999999996</v>
      </c>
      <c r="SJ4">
        <f t="shared" ref="SJ4" si="456">SJ5*0.00133322</f>
        <v>4.1463141999999999</v>
      </c>
      <c r="SK4">
        <f t="shared" ref="SK4" si="457">SK5*0.00133322</f>
        <v>4.1529803000000003</v>
      </c>
      <c r="SL4">
        <f t="shared" ref="SL4" si="458">SL5*0.00133322</f>
        <v>4.1596463999999997</v>
      </c>
      <c r="SM4">
        <f t="shared" ref="SM4" si="459">SM5*0.00133322</f>
        <v>4.1663125000000001</v>
      </c>
      <c r="SN4">
        <f t="shared" ref="SN4" si="460">SN5*0.00133322</f>
        <v>4.1729785999999995</v>
      </c>
      <c r="SO4">
        <f t="shared" ref="SO4" si="461">SO5*0.00133322</f>
        <v>4.1796446999999999</v>
      </c>
      <c r="SP4">
        <f t="shared" ref="SP4" si="462">SP5*0.00133322</f>
        <v>4.1863108000000002</v>
      </c>
      <c r="SQ4">
        <f t="shared" ref="SQ4" si="463">SQ5*0.00133322</f>
        <v>4.1929768999999997</v>
      </c>
      <c r="SR4">
        <f t="shared" ref="SR4" si="464">SR5*0.00133322</f>
        <v>4.199643</v>
      </c>
      <c r="SS4">
        <f t="shared" ref="SS4" si="465">SS5*0.00133322</f>
        <v>4.2063091000000004</v>
      </c>
      <c r="ST4">
        <f t="shared" ref="ST4" si="466">ST5*0.00133322</f>
        <v>4.2129751999999998</v>
      </c>
      <c r="SU4">
        <f t="shared" ref="SU4" si="467">SU5*0.00133322</f>
        <v>4.2196413000000002</v>
      </c>
      <c r="SV4">
        <f t="shared" ref="SV4" si="468">SV5*0.00133322</f>
        <v>4.2263073999999996</v>
      </c>
      <c r="SW4">
        <f t="shared" ref="SW4" si="469">SW5*0.00133322</f>
        <v>4.2329734999999999</v>
      </c>
      <c r="SX4">
        <f t="shared" ref="SX4" si="470">SX5*0.00133322</f>
        <v>4.2396396000000003</v>
      </c>
      <c r="SY4">
        <f t="shared" ref="SY4" si="471">SY5*0.00133322</f>
        <v>4.2463056999999997</v>
      </c>
      <c r="SZ4">
        <f t="shared" ref="SZ4" si="472">SZ5*0.00133322</f>
        <v>4.2529718000000001</v>
      </c>
      <c r="TA4">
        <f t="shared" ref="TA4" si="473">TA5*0.00133322</f>
        <v>4.2596378999999995</v>
      </c>
      <c r="TB4">
        <f t="shared" ref="TB4" si="474">TB5*0.00133322</f>
        <v>4.2663039999999999</v>
      </c>
      <c r="TC4">
        <f t="shared" ref="TC4" si="475">TC5*0.00133322</f>
        <v>4.2729701000000002</v>
      </c>
      <c r="TD4">
        <f t="shared" ref="TD4" si="476">TD5*0.00133322</f>
        <v>4.2796361999999997</v>
      </c>
      <c r="TE4">
        <f t="shared" ref="TE4" si="477">TE5*0.00133322</f>
        <v>4.2863023</v>
      </c>
      <c r="TF4">
        <f t="shared" ref="TF4" si="478">TF5*0.00133322</f>
        <v>4.2929684000000004</v>
      </c>
      <c r="TG4">
        <f t="shared" ref="TG4" si="479">TG5*0.00133322</f>
        <v>4.2996344999999998</v>
      </c>
      <c r="TH4">
        <f t="shared" ref="TH4" si="480">TH5*0.00133322</f>
        <v>4.3063006000000001</v>
      </c>
      <c r="TI4">
        <f t="shared" ref="TI4" si="481">TI5*0.00133322</f>
        <v>4.3129666999999996</v>
      </c>
      <c r="TJ4">
        <f t="shared" ref="TJ4" si="482">TJ5*0.00133322</f>
        <v>4.3196327999999999</v>
      </c>
      <c r="TK4">
        <f t="shared" ref="TK4" si="483">TK5*0.00133322</f>
        <v>4.3262989000000003</v>
      </c>
      <c r="TL4">
        <f t="shared" ref="TL4" si="484">TL5*0.00133322</f>
        <v>4.3329649999999997</v>
      </c>
      <c r="TM4">
        <f t="shared" ref="TM4" si="485">TM5*0.00133322</f>
        <v>4.3396311000000001</v>
      </c>
      <c r="TN4">
        <f t="shared" ref="TN4" si="486">TN5*0.00133322</f>
        <v>4.3462971999999995</v>
      </c>
      <c r="TO4">
        <f t="shared" ref="TO4" si="487">TO5*0.00133322</f>
        <v>4.3529632999999999</v>
      </c>
      <c r="TP4">
        <f t="shared" ref="TP4" si="488">TP5*0.00133322</f>
        <v>4.3596294000000002</v>
      </c>
      <c r="TQ4">
        <f t="shared" ref="TQ4" si="489">TQ5*0.00133322</f>
        <v>4.3662954999999997</v>
      </c>
      <c r="TR4">
        <f t="shared" ref="TR4" si="490">TR5*0.00133322</f>
        <v>4.3729616</v>
      </c>
      <c r="TS4">
        <f t="shared" ref="TS4" si="491">TS5*0.00133322</f>
        <v>4.3796277000000003</v>
      </c>
      <c r="TT4">
        <f t="shared" ref="TT4" si="492">TT5*0.00133322</f>
        <v>4.3862937999999998</v>
      </c>
      <c r="TU4">
        <f t="shared" ref="TU4" si="493">TU5*0.00133322</f>
        <v>4.3929599000000001</v>
      </c>
      <c r="TV4">
        <f t="shared" ref="TV4" si="494">TV5*0.00133322</f>
        <v>4.3996259999999996</v>
      </c>
      <c r="TW4">
        <f t="shared" ref="TW4" si="495">TW5*0.00133322</f>
        <v>4.4062920999999999</v>
      </c>
      <c r="TX4">
        <f t="shared" ref="TX4" si="496">TX5*0.00133322</f>
        <v>4.4129582000000003</v>
      </c>
      <c r="TY4">
        <f t="shared" ref="TY4" si="497">TY5*0.00133322</f>
        <v>4.4196242999999997</v>
      </c>
      <c r="TZ4">
        <f t="shared" ref="TZ4" si="498">TZ5*0.00133322</f>
        <v>4.4262904000000001</v>
      </c>
      <c r="UA4">
        <f t="shared" ref="UA4" si="499">UA5*0.00133322</f>
        <v>4.4329564999999995</v>
      </c>
      <c r="UB4">
        <f t="shared" ref="UB4" si="500">UB5*0.00133322</f>
        <v>4.4396225999999999</v>
      </c>
      <c r="UC4">
        <f t="shared" ref="UC4" si="501">UC5*0.00133322</f>
        <v>4.4462887000000002</v>
      </c>
      <c r="UD4">
        <f t="shared" ref="UD4" si="502">UD5*0.00133322</f>
        <v>4.4529547999999997</v>
      </c>
      <c r="UE4">
        <f t="shared" ref="UE4" si="503">UE5*0.00133322</f>
        <v>4.4596209</v>
      </c>
      <c r="UF4">
        <f t="shared" ref="UF4" si="504">UF5*0.00133322</f>
        <v>4.4662870000000003</v>
      </c>
      <c r="UG4">
        <f t="shared" ref="UG4" si="505">UG5*0.00133322</f>
        <v>4.4729530999999998</v>
      </c>
      <c r="UH4">
        <f t="shared" ref="UH4" si="506">UH5*0.00133322</f>
        <v>4.4796192000000001</v>
      </c>
      <c r="UI4">
        <f t="shared" ref="UI4" si="507">UI5*0.00133322</f>
        <v>4.4862852999999996</v>
      </c>
      <c r="UJ4">
        <f t="shared" ref="UJ4" si="508">UJ5*0.00133322</f>
        <v>4.4929513999999999</v>
      </c>
      <c r="UK4">
        <f t="shared" ref="UK4" si="509">UK5*0.00133322</f>
        <v>4.4996175000000003</v>
      </c>
      <c r="UL4">
        <f t="shared" ref="UL4" si="510">UL5*0.00133322</f>
        <v>4.5062835999999997</v>
      </c>
      <c r="UM4">
        <f t="shared" ref="UM4" si="511">UM5*0.00133322</f>
        <v>4.5129497000000001</v>
      </c>
      <c r="UN4">
        <f t="shared" ref="UN4" si="512">UN5*0.00133322</f>
        <v>4.5196157999999995</v>
      </c>
      <c r="UO4">
        <f t="shared" ref="UO4" si="513">UO5*0.00133322</f>
        <v>4.5262818999999999</v>
      </c>
      <c r="UP4">
        <f t="shared" ref="UP4" si="514">UP5*0.00133322</f>
        <v>4.5329480000000002</v>
      </c>
      <c r="UQ4">
        <f t="shared" ref="UQ4" si="515">UQ5*0.00133322</f>
        <v>4.5396140999999997</v>
      </c>
      <c r="UR4">
        <f t="shared" ref="UR4" si="516">UR5*0.00133322</f>
        <v>4.5462802</v>
      </c>
      <c r="US4">
        <f t="shared" ref="US4" si="517">US5*0.00133322</f>
        <v>4.5529463000000003</v>
      </c>
      <c r="UT4">
        <f t="shared" ref="UT4" si="518">UT5*0.00133322</f>
        <v>4.5596123999999998</v>
      </c>
    </row>
    <row r="5" spans="1:566" x14ac:dyDescent="0.2">
      <c r="A5" t="s">
        <v>110</v>
      </c>
      <c r="B5">
        <v>600</v>
      </c>
      <c r="C5">
        <v>605</v>
      </c>
      <c r="D5">
        <v>610</v>
      </c>
      <c r="E5">
        <v>615</v>
      </c>
      <c r="F5">
        <v>620</v>
      </c>
      <c r="G5">
        <v>625</v>
      </c>
      <c r="H5">
        <v>630</v>
      </c>
      <c r="I5">
        <v>635</v>
      </c>
      <c r="J5">
        <v>640</v>
      </c>
      <c r="K5">
        <v>645</v>
      </c>
      <c r="L5">
        <v>650</v>
      </c>
      <c r="M5">
        <v>655</v>
      </c>
      <c r="N5">
        <v>660</v>
      </c>
      <c r="O5">
        <v>665</v>
      </c>
      <c r="P5">
        <v>670</v>
      </c>
      <c r="Q5">
        <v>675</v>
      </c>
      <c r="R5">
        <v>680</v>
      </c>
      <c r="S5">
        <v>685</v>
      </c>
      <c r="T5">
        <v>690</v>
      </c>
      <c r="U5">
        <v>695</v>
      </c>
      <c r="V5">
        <v>700</v>
      </c>
      <c r="W5">
        <v>705</v>
      </c>
      <c r="X5">
        <v>710</v>
      </c>
      <c r="Y5">
        <v>715</v>
      </c>
      <c r="Z5">
        <v>720</v>
      </c>
      <c r="AA5">
        <v>725</v>
      </c>
      <c r="AB5">
        <v>730</v>
      </c>
      <c r="AC5">
        <v>735</v>
      </c>
      <c r="AD5">
        <v>740</v>
      </c>
      <c r="AE5">
        <v>745</v>
      </c>
      <c r="AF5">
        <v>750</v>
      </c>
      <c r="AG5">
        <v>755</v>
      </c>
      <c r="AH5">
        <v>760</v>
      </c>
      <c r="AI5">
        <v>765</v>
      </c>
      <c r="AJ5">
        <v>770</v>
      </c>
      <c r="AK5">
        <v>775</v>
      </c>
      <c r="AL5">
        <v>780</v>
      </c>
      <c r="AM5">
        <v>785</v>
      </c>
      <c r="AN5">
        <v>790</v>
      </c>
      <c r="AO5">
        <v>795</v>
      </c>
      <c r="AP5">
        <v>800</v>
      </c>
      <c r="AQ5">
        <v>805</v>
      </c>
      <c r="AR5">
        <v>810</v>
      </c>
      <c r="AS5">
        <v>815</v>
      </c>
      <c r="AT5">
        <v>820</v>
      </c>
      <c r="AU5">
        <v>825</v>
      </c>
      <c r="AV5">
        <v>830</v>
      </c>
      <c r="AW5">
        <v>835</v>
      </c>
      <c r="AX5">
        <v>840</v>
      </c>
      <c r="AY5">
        <v>845</v>
      </c>
      <c r="AZ5">
        <v>850</v>
      </c>
      <c r="BA5">
        <v>855</v>
      </c>
      <c r="BB5">
        <v>860</v>
      </c>
      <c r="BC5">
        <v>865</v>
      </c>
      <c r="BD5">
        <v>870</v>
      </c>
      <c r="BE5">
        <v>875</v>
      </c>
      <c r="BF5">
        <v>880</v>
      </c>
      <c r="BG5">
        <v>885</v>
      </c>
      <c r="BH5">
        <v>890</v>
      </c>
      <c r="BI5">
        <v>895</v>
      </c>
      <c r="BJ5">
        <v>900</v>
      </c>
      <c r="BK5">
        <v>905</v>
      </c>
      <c r="BL5">
        <v>910</v>
      </c>
      <c r="BM5">
        <v>915</v>
      </c>
      <c r="BN5">
        <v>920</v>
      </c>
      <c r="BO5">
        <v>925</v>
      </c>
      <c r="BP5">
        <v>930</v>
      </c>
      <c r="BQ5">
        <v>935</v>
      </c>
      <c r="BR5">
        <v>940</v>
      </c>
      <c r="BS5">
        <v>945</v>
      </c>
      <c r="BT5">
        <v>950</v>
      </c>
      <c r="BU5">
        <v>955</v>
      </c>
      <c r="BV5">
        <v>960</v>
      </c>
      <c r="BW5">
        <v>965</v>
      </c>
      <c r="BX5">
        <v>970</v>
      </c>
      <c r="BY5">
        <v>975</v>
      </c>
      <c r="BZ5">
        <v>980</v>
      </c>
      <c r="CA5">
        <v>985</v>
      </c>
      <c r="CB5">
        <v>990</v>
      </c>
      <c r="CC5">
        <v>995</v>
      </c>
      <c r="CD5">
        <v>1000</v>
      </c>
      <c r="CE5">
        <v>1005</v>
      </c>
      <c r="CF5">
        <v>1010</v>
      </c>
      <c r="CG5">
        <v>1015</v>
      </c>
      <c r="CH5">
        <v>1020</v>
      </c>
      <c r="CI5">
        <v>1025</v>
      </c>
      <c r="CJ5">
        <v>1030</v>
      </c>
      <c r="CK5">
        <v>1035</v>
      </c>
      <c r="CL5">
        <v>1040</v>
      </c>
      <c r="CM5">
        <v>1045</v>
      </c>
      <c r="CN5">
        <v>1050</v>
      </c>
      <c r="CO5">
        <v>1055</v>
      </c>
      <c r="CP5">
        <v>1060</v>
      </c>
      <c r="CQ5">
        <v>1065</v>
      </c>
      <c r="CR5">
        <v>1070</v>
      </c>
      <c r="CS5">
        <v>1075</v>
      </c>
      <c r="CT5">
        <v>1080</v>
      </c>
      <c r="CU5">
        <v>1085</v>
      </c>
      <c r="CV5">
        <v>1090</v>
      </c>
      <c r="CW5">
        <v>1095</v>
      </c>
      <c r="CX5">
        <v>1100</v>
      </c>
      <c r="CY5">
        <v>1105</v>
      </c>
      <c r="CZ5">
        <v>1110</v>
      </c>
      <c r="DA5">
        <v>1115</v>
      </c>
      <c r="DB5">
        <v>1120</v>
      </c>
      <c r="DC5">
        <v>1125</v>
      </c>
      <c r="DD5">
        <v>1130</v>
      </c>
      <c r="DE5">
        <v>1135</v>
      </c>
      <c r="DF5">
        <v>1140</v>
      </c>
      <c r="DG5">
        <v>1145</v>
      </c>
      <c r="DH5">
        <v>1150</v>
      </c>
      <c r="DI5">
        <v>1155</v>
      </c>
      <c r="DJ5">
        <v>1160</v>
      </c>
      <c r="DK5">
        <v>1165</v>
      </c>
      <c r="DL5">
        <v>1170</v>
      </c>
      <c r="DM5">
        <v>1175</v>
      </c>
      <c r="DN5">
        <v>1180</v>
      </c>
      <c r="DO5">
        <v>1185</v>
      </c>
      <c r="DP5">
        <v>1190</v>
      </c>
      <c r="DQ5">
        <v>1195</v>
      </c>
      <c r="DR5">
        <v>1200</v>
      </c>
      <c r="DS5">
        <v>1205</v>
      </c>
      <c r="DT5">
        <v>1210</v>
      </c>
      <c r="DU5">
        <v>1215</v>
      </c>
      <c r="DV5">
        <v>1220</v>
      </c>
      <c r="DW5">
        <v>1225</v>
      </c>
      <c r="DX5">
        <v>1230</v>
      </c>
      <c r="DY5">
        <v>1235</v>
      </c>
      <c r="DZ5">
        <v>1240</v>
      </c>
      <c r="EA5">
        <v>1245</v>
      </c>
      <c r="EB5">
        <v>1250</v>
      </c>
      <c r="EC5">
        <v>1255</v>
      </c>
      <c r="ED5">
        <v>1260</v>
      </c>
      <c r="EE5">
        <v>1265</v>
      </c>
      <c r="EF5">
        <v>1270</v>
      </c>
      <c r="EG5">
        <v>1275</v>
      </c>
      <c r="EH5">
        <v>1280</v>
      </c>
      <c r="EI5">
        <v>1285</v>
      </c>
      <c r="EJ5">
        <v>1290</v>
      </c>
      <c r="EK5">
        <v>1295</v>
      </c>
      <c r="EL5">
        <v>1300</v>
      </c>
      <c r="EM5">
        <v>1305</v>
      </c>
      <c r="EN5">
        <v>1310</v>
      </c>
      <c r="EO5">
        <v>1315</v>
      </c>
      <c r="EP5">
        <v>1320</v>
      </c>
      <c r="EQ5">
        <v>1325</v>
      </c>
      <c r="ER5">
        <v>1330</v>
      </c>
      <c r="ES5">
        <v>1335</v>
      </c>
      <c r="ET5">
        <v>1340</v>
      </c>
      <c r="EU5">
        <v>1345</v>
      </c>
      <c r="EV5">
        <v>1350</v>
      </c>
      <c r="EW5">
        <v>1355</v>
      </c>
      <c r="EX5">
        <v>1360</v>
      </c>
      <c r="EY5">
        <v>1365</v>
      </c>
      <c r="EZ5">
        <v>1370</v>
      </c>
      <c r="FA5">
        <v>1375</v>
      </c>
      <c r="FB5">
        <v>1380</v>
      </c>
      <c r="FC5">
        <v>1385</v>
      </c>
      <c r="FD5">
        <v>1390</v>
      </c>
      <c r="FE5">
        <v>1395</v>
      </c>
      <c r="FF5">
        <v>1400</v>
      </c>
      <c r="FG5">
        <v>1405</v>
      </c>
      <c r="FH5">
        <v>1410</v>
      </c>
      <c r="FI5">
        <v>1415</v>
      </c>
      <c r="FJ5">
        <v>1420</v>
      </c>
      <c r="FK5">
        <v>1425</v>
      </c>
      <c r="FL5">
        <v>1430</v>
      </c>
      <c r="FM5">
        <v>1435</v>
      </c>
      <c r="FN5">
        <v>1440</v>
      </c>
      <c r="FO5">
        <v>1445</v>
      </c>
      <c r="FP5">
        <v>1450</v>
      </c>
      <c r="FQ5">
        <v>1455</v>
      </c>
      <c r="FR5">
        <v>1460</v>
      </c>
      <c r="FS5">
        <v>1465</v>
      </c>
      <c r="FT5">
        <v>1470</v>
      </c>
      <c r="FU5">
        <v>1475</v>
      </c>
      <c r="FV5">
        <v>1480</v>
      </c>
      <c r="FW5">
        <v>1485</v>
      </c>
      <c r="FX5">
        <v>1490</v>
      </c>
      <c r="FY5">
        <v>1495</v>
      </c>
      <c r="FZ5">
        <v>1500</v>
      </c>
      <c r="GA5">
        <v>1505</v>
      </c>
      <c r="GB5">
        <v>1510</v>
      </c>
      <c r="GC5">
        <v>1515</v>
      </c>
      <c r="GD5">
        <v>1520</v>
      </c>
      <c r="GE5">
        <v>1525</v>
      </c>
      <c r="GF5">
        <v>1530</v>
      </c>
      <c r="GG5">
        <v>1535</v>
      </c>
      <c r="GH5">
        <v>1540</v>
      </c>
      <c r="GI5">
        <v>1545</v>
      </c>
      <c r="GJ5">
        <v>1550</v>
      </c>
      <c r="GK5">
        <v>1555</v>
      </c>
      <c r="GL5">
        <v>1560</v>
      </c>
      <c r="GM5">
        <v>1565</v>
      </c>
      <c r="GN5">
        <v>1570</v>
      </c>
      <c r="GO5">
        <v>1575</v>
      </c>
      <c r="GP5">
        <v>1580</v>
      </c>
      <c r="GQ5">
        <v>1585</v>
      </c>
      <c r="GR5">
        <v>1590</v>
      </c>
      <c r="GS5">
        <v>1595</v>
      </c>
      <c r="GT5">
        <v>1600</v>
      </c>
      <c r="GU5">
        <v>1605</v>
      </c>
      <c r="GV5">
        <v>1610</v>
      </c>
      <c r="GW5">
        <v>1615</v>
      </c>
      <c r="GX5">
        <v>1620</v>
      </c>
      <c r="GY5">
        <v>1625</v>
      </c>
      <c r="GZ5">
        <v>1630</v>
      </c>
      <c r="HA5">
        <v>1635</v>
      </c>
      <c r="HB5">
        <v>1640</v>
      </c>
      <c r="HC5">
        <v>1645</v>
      </c>
      <c r="HD5">
        <v>1650</v>
      </c>
      <c r="HE5">
        <v>1655</v>
      </c>
      <c r="HF5">
        <v>1660</v>
      </c>
      <c r="HG5">
        <v>1665</v>
      </c>
      <c r="HH5">
        <v>1670</v>
      </c>
      <c r="HI5">
        <v>1675</v>
      </c>
      <c r="HJ5">
        <v>1680</v>
      </c>
      <c r="HK5">
        <v>1685</v>
      </c>
      <c r="HL5">
        <v>1690</v>
      </c>
      <c r="HM5">
        <v>1695</v>
      </c>
      <c r="HN5">
        <v>1700</v>
      </c>
      <c r="HO5">
        <v>1705</v>
      </c>
      <c r="HP5">
        <v>1710</v>
      </c>
      <c r="HQ5">
        <v>1715</v>
      </c>
      <c r="HR5">
        <v>1720</v>
      </c>
      <c r="HS5">
        <v>1725</v>
      </c>
      <c r="HT5">
        <v>1730</v>
      </c>
      <c r="HU5">
        <v>1735</v>
      </c>
      <c r="HV5">
        <v>1740</v>
      </c>
      <c r="HW5">
        <v>1745</v>
      </c>
      <c r="HX5">
        <v>1750</v>
      </c>
      <c r="HY5">
        <v>1755</v>
      </c>
      <c r="HZ5">
        <v>1760</v>
      </c>
      <c r="IA5">
        <v>1765</v>
      </c>
      <c r="IB5">
        <v>1770</v>
      </c>
      <c r="IC5">
        <v>1775</v>
      </c>
      <c r="ID5">
        <v>1780</v>
      </c>
      <c r="IE5">
        <v>1785</v>
      </c>
      <c r="IF5">
        <v>1790</v>
      </c>
      <c r="IG5">
        <v>1795</v>
      </c>
      <c r="IH5">
        <v>1800</v>
      </c>
      <c r="II5">
        <v>1805</v>
      </c>
      <c r="IJ5">
        <v>1810</v>
      </c>
      <c r="IK5">
        <v>1815</v>
      </c>
      <c r="IL5">
        <v>1820</v>
      </c>
      <c r="IM5">
        <v>1825</v>
      </c>
      <c r="IN5">
        <v>1830</v>
      </c>
      <c r="IO5">
        <v>1835</v>
      </c>
      <c r="IP5">
        <v>1840</v>
      </c>
      <c r="IQ5">
        <v>1845</v>
      </c>
      <c r="IR5">
        <v>1850</v>
      </c>
      <c r="IS5">
        <v>1855</v>
      </c>
      <c r="IT5">
        <v>1860</v>
      </c>
      <c r="IU5">
        <v>1865</v>
      </c>
      <c r="IV5">
        <v>1870</v>
      </c>
      <c r="IW5">
        <v>1875</v>
      </c>
      <c r="IX5">
        <v>1880</v>
      </c>
      <c r="IY5">
        <v>1885</v>
      </c>
      <c r="IZ5">
        <v>1890</v>
      </c>
      <c r="JA5">
        <v>1895</v>
      </c>
      <c r="JB5">
        <v>1900</v>
      </c>
      <c r="JC5">
        <v>1905</v>
      </c>
      <c r="JD5">
        <v>1910</v>
      </c>
      <c r="JE5">
        <v>1915</v>
      </c>
      <c r="JF5">
        <v>1920</v>
      </c>
      <c r="JG5">
        <v>1925</v>
      </c>
      <c r="JH5">
        <v>1930</v>
      </c>
      <c r="JI5">
        <v>1935</v>
      </c>
      <c r="JJ5">
        <v>1940</v>
      </c>
      <c r="JK5">
        <v>1945</v>
      </c>
      <c r="JL5">
        <v>1950</v>
      </c>
      <c r="JM5">
        <v>1955</v>
      </c>
      <c r="JN5">
        <v>1960</v>
      </c>
      <c r="JO5">
        <v>1965</v>
      </c>
      <c r="JP5">
        <v>1970</v>
      </c>
      <c r="JQ5">
        <v>1975</v>
      </c>
      <c r="JR5">
        <v>1980</v>
      </c>
      <c r="JS5">
        <v>1985</v>
      </c>
      <c r="JT5">
        <v>1990</v>
      </c>
      <c r="JU5">
        <v>1995</v>
      </c>
      <c r="JV5">
        <v>2000</v>
      </c>
      <c r="JW5">
        <v>2005</v>
      </c>
      <c r="JX5">
        <v>2010</v>
      </c>
      <c r="JY5">
        <v>2015</v>
      </c>
      <c r="JZ5">
        <v>2020</v>
      </c>
      <c r="KA5">
        <v>2025</v>
      </c>
      <c r="KB5">
        <v>2030</v>
      </c>
      <c r="KC5">
        <v>2035</v>
      </c>
      <c r="KD5">
        <v>2040</v>
      </c>
      <c r="KE5">
        <v>2045</v>
      </c>
      <c r="KF5">
        <v>2050</v>
      </c>
      <c r="KG5">
        <v>2055</v>
      </c>
      <c r="KH5">
        <v>2060</v>
      </c>
      <c r="KI5">
        <v>2065</v>
      </c>
      <c r="KJ5">
        <v>2070</v>
      </c>
      <c r="KK5">
        <v>2075</v>
      </c>
      <c r="KL5">
        <v>2080</v>
      </c>
      <c r="KM5">
        <v>2085</v>
      </c>
      <c r="KN5">
        <v>2090</v>
      </c>
      <c r="KO5">
        <v>2095</v>
      </c>
      <c r="KP5">
        <v>2100</v>
      </c>
      <c r="KQ5">
        <v>2105</v>
      </c>
      <c r="KR5">
        <v>2110</v>
      </c>
      <c r="KS5">
        <v>2115</v>
      </c>
      <c r="KT5">
        <v>2120</v>
      </c>
      <c r="KU5">
        <v>2125</v>
      </c>
      <c r="KV5">
        <v>2130</v>
      </c>
      <c r="KW5">
        <v>2135</v>
      </c>
      <c r="KX5">
        <v>2140</v>
      </c>
      <c r="KY5">
        <v>2145</v>
      </c>
      <c r="KZ5">
        <v>2150</v>
      </c>
      <c r="LA5">
        <v>2155</v>
      </c>
      <c r="LB5">
        <v>2160</v>
      </c>
      <c r="LC5">
        <v>2165</v>
      </c>
      <c r="LD5">
        <v>2170</v>
      </c>
      <c r="LE5">
        <v>2175</v>
      </c>
      <c r="LF5">
        <v>2180</v>
      </c>
      <c r="LG5">
        <v>2185</v>
      </c>
      <c r="LH5">
        <v>2190</v>
      </c>
      <c r="LI5">
        <v>2195</v>
      </c>
      <c r="LJ5">
        <v>2200</v>
      </c>
      <c r="LK5">
        <v>2205</v>
      </c>
      <c r="LL5">
        <v>2210</v>
      </c>
      <c r="LM5">
        <v>2215</v>
      </c>
      <c r="LN5">
        <v>2220</v>
      </c>
      <c r="LO5">
        <v>2225</v>
      </c>
      <c r="LP5">
        <v>2230</v>
      </c>
      <c r="LQ5">
        <v>2235</v>
      </c>
      <c r="LR5">
        <v>2240</v>
      </c>
      <c r="LS5">
        <v>2245</v>
      </c>
      <c r="LT5">
        <v>2250</v>
      </c>
      <c r="LU5">
        <v>2255</v>
      </c>
      <c r="LV5">
        <v>2260</v>
      </c>
      <c r="LW5">
        <v>2265</v>
      </c>
      <c r="LX5">
        <v>2270</v>
      </c>
      <c r="LY5">
        <v>2275</v>
      </c>
      <c r="LZ5">
        <v>2280</v>
      </c>
      <c r="MA5">
        <v>2285</v>
      </c>
      <c r="MB5">
        <v>2290</v>
      </c>
      <c r="MC5">
        <v>2295</v>
      </c>
      <c r="MD5">
        <v>2300</v>
      </c>
      <c r="ME5">
        <v>2305</v>
      </c>
      <c r="MF5">
        <v>2310</v>
      </c>
      <c r="MG5">
        <v>2315</v>
      </c>
      <c r="MH5">
        <v>2320</v>
      </c>
      <c r="MI5">
        <v>2325</v>
      </c>
      <c r="MJ5">
        <v>2330</v>
      </c>
      <c r="MK5">
        <v>2335</v>
      </c>
      <c r="ML5">
        <v>2340</v>
      </c>
      <c r="MM5">
        <v>2345</v>
      </c>
      <c r="MN5">
        <v>2350</v>
      </c>
      <c r="MO5">
        <v>2355</v>
      </c>
      <c r="MP5">
        <v>2360</v>
      </c>
      <c r="MQ5">
        <v>2365</v>
      </c>
      <c r="MR5">
        <v>2370</v>
      </c>
      <c r="MS5">
        <v>2375</v>
      </c>
      <c r="MT5">
        <v>2380</v>
      </c>
      <c r="MU5">
        <v>2385</v>
      </c>
      <c r="MV5">
        <v>2390</v>
      </c>
      <c r="MW5">
        <v>2395</v>
      </c>
      <c r="MX5">
        <v>2400</v>
      </c>
      <c r="MY5">
        <v>2405</v>
      </c>
      <c r="MZ5">
        <v>2410</v>
      </c>
      <c r="NA5">
        <v>2415</v>
      </c>
      <c r="NB5">
        <v>2420</v>
      </c>
      <c r="NC5">
        <v>2425</v>
      </c>
      <c r="ND5">
        <v>2430</v>
      </c>
      <c r="NE5">
        <v>2435</v>
      </c>
      <c r="NF5">
        <v>2440</v>
      </c>
      <c r="NG5">
        <v>2445</v>
      </c>
      <c r="NH5">
        <v>2450</v>
      </c>
      <c r="NI5">
        <v>2455</v>
      </c>
      <c r="NJ5">
        <v>2460</v>
      </c>
      <c r="NK5">
        <v>2465</v>
      </c>
      <c r="NL5">
        <v>2470</v>
      </c>
      <c r="NM5">
        <v>2475</v>
      </c>
      <c r="NN5">
        <v>2480</v>
      </c>
      <c r="NO5">
        <v>2485</v>
      </c>
      <c r="NP5">
        <v>2490</v>
      </c>
      <c r="NQ5">
        <v>2495</v>
      </c>
      <c r="NR5">
        <v>2500</v>
      </c>
      <c r="NS5">
        <v>2505</v>
      </c>
      <c r="NT5">
        <v>2510</v>
      </c>
      <c r="NU5">
        <v>2515</v>
      </c>
      <c r="NV5">
        <v>2520</v>
      </c>
      <c r="NW5">
        <v>2525</v>
      </c>
      <c r="NX5">
        <v>2530</v>
      </c>
      <c r="NY5">
        <v>2535</v>
      </c>
      <c r="NZ5">
        <v>2540</v>
      </c>
      <c r="OA5">
        <v>2545</v>
      </c>
      <c r="OB5">
        <v>2550</v>
      </c>
      <c r="OC5">
        <v>2555</v>
      </c>
      <c r="OD5">
        <v>2560</v>
      </c>
      <c r="OE5">
        <v>2565</v>
      </c>
      <c r="OF5">
        <v>2570</v>
      </c>
      <c r="OG5">
        <v>2575</v>
      </c>
      <c r="OH5">
        <v>2580</v>
      </c>
      <c r="OI5">
        <v>2585</v>
      </c>
      <c r="OJ5">
        <v>2590</v>
      </c>
      <c r="OK5">
        <v>2595</v>
      </c>
      <c r="OL5">
        <v>2600</v>
      </c>
      <c r="OM5">
        <v>2605</v>
      </c>
      <c r="ON5">
        <v>2610</v>
      </c>
      <c r="OO5">
        <v>2615</v>
      </c>
      <c r="OP5">
        <v>2620</v>
      </c>
      <c r="OQ5">
        <v>2625</v>
      </c>
      <c r="OR5">
        <v>2630</v>
      </c>
      <c r="OS5">
        <v>2635</v>
      </c>
      <c r="OT5">
        <v>2640</v>
      </c>
      <c r="OU5">
        <v>2645</v>
      </c>
      <c r="OV5">
        <v>2650</v>
      </c>
      <c r="OW5">
        <v>2655</v>
      </c>
      <c r="OX5">
        <v>2660</v>
      </c>
      <c r="OY5">
        <v>2665</v>
      </c>
      <c r="OZ5">
        <v>2670</v>
      </c>
      <c r="PA5">
        <v>2675</v>
      </c>
      <c r="PB5">
        <v>2680</v>
      </c>
      <c r="PC5">
        <v>2685</v>
      </c>
      <c r="PD5">
        <v>2690</v>
      </c>
      <c r="PE5">
        <v>2695</v>
      </c>
      <c r="PF5">
        <v>2700</v>
      </c>
      <c r="PG5">
        <v>2705</v>
      </c>
      <c r="PH5">
        <v>2710</v>
      </c>
      <c r="PI5">
        <v>2715</v>
      </c>
      <c r="PJ5">
        <v>2720</v>
      </c>
      <c r="PK5">
        <v>2725</v>
      </c>
      <c r="PL5">
        <v>2730</v>
      </c>
      <c r="PM5">
        <v>2735</v>
      </c>
      <c r="PN5">
        <v>2740</v>
      </c>
      <c r="PO5">
        <v>2745</v>
      </c>
      <c r="PP5">
        <v>2750</v>
      </c>
      <c r="PQ5">
        <v>2755</v>
      </c>
      <c r="PR5">
        <v>2760</v>
      </c>
      <c r="PS5">
        <v>2765</v>
      </c>
      <c r="PT5">
        <v>2770</v>
      </c>
      <c r="PU5">
        <v>2775</v>
      </c>
      <c r="PV5">
        <v>2780</v>
      </c>
      <c r="PW5">
        <v>2785</v>
      </c>
      <c r="PX5">
        <v>2790</v>
      </c>
      <c r="PY5">
        <v>2795</v>
      </c>
      <c r="PZ5">
        <v>2800</v>
      </c>
      <c r="QA5">
        <v>2805</v>
      </c>
      <c r="QB5">
        <v>2810</v>
      </c>
      <c r="QC5">
        <v>2815</v>
      </c>
      <c r="QD5">
        <v>2820</v>
      </c>
      <c r="QE5">
        <v>2825</v>
      </c>
      <c r="QF5">
        <v>2830</v>
      </c>
      <c r="QG5">
        <v>2835</v>
      </c>
      <c r="QH5">
        <v>2840</v>
      </c>
      <c r="QI5">
        <v>2845</v>
      </c>
      <c r="QJ5">
        <v>2850</v>
      </c>
      <c r="QK5">
        <v>2855</v>
      </c>
      <c r="QL5">
        <v>2860</v>
      </c>
      <c r="QM5">
        <v>2865</v>
      </c>
      <c r="QN5">
        <v>2870</v>
      </c>
      <c r="QO5">
        <v>2875</v>
      </c>
      <c r="QP5">
        <v>2880</v>
      </c>
      <c r="QQ5">
        <v>2885</v>
      </c>
      <c r="QR5">
        <v>2890</v>
      </c>
      <c r="QS5">
        <v>2895</v>
      </c>
      <c r="QT5">
        <v>2900</v>
      </c>
      <c r="QU5">
        <v>2905</v>
      </c>
      <c r="QV5">
        <v>2910</v>
      </c>
      <c r="QW5">
        <v>2915</v>
      </c>
      <c r="QX5">
        <v>2920</v>
      </c>
      <c r="QY5">
        <v>2925</v>
      </c>
      <c r="QZ5">
        <v>2930</v>
      </c>
      <c r="RA5">
        <v>2935</v>
      </c>
      <c r="RB5">
        <v>2940</v>
      </c>
      <c r="RC5">
        <v>2945</v>
      </c>
      <c r="RD5">
        <v>2950</v>
      </c>
      <c r="RE5">
        <v>2955</v>
      </c>
      <c r="RF5">
        <v>2960</v>
      </c>
      <c r="RG5">
        <v>2965</v>
      </c>
      <c r="RH5">
        <v>2970</v>
      </c>
      <c r="RI5">
        <v>2975</v>
      </c>
      <c r="RJ5">
        <v>2980</v>
      </c>
      <c r="RK5">
        <v>2985</v>
      </c>
      <c r="RL5">
        <v>2990</v>
      </c>
      <c r="RM5">
        <v>2995</v>
      </c>
      <c r="RN5">
        <v>3000</v>
      </c>
      <c r="RO5">
        <v>3005</v>
      </c>
      <c r="RP5">
        <v>3010</v>
      </c>
      <c r="RQ5">
        <v>3015</v>
      </c>
      <c r="RR5">
        <v>3020</v>
      </c>
      <c r="RS5">
        <v>3025</v>
      </c>
      <c r="RT5">
        <v>3030</v>
      </c>
      <c r="RU5">
        <v>3035</v>
      </c>
      <c r="RV5">
        <v>3040</v>
      </c>
      <c r="RW5">
        <v>3045</v>
      </c>
      <c r="RX5">
        <v>3050</v>
      </c>
      <c r="RY5">
        <v>3055</v>
      </c>
      <c r="RZ5">
        <v>3060</v>
      </c>
      <c r="SA5">
        <v>3065</v>
      </c>
      <c r="SB5">
        <v>3070</v>
      </c>
      <c r="SC5">
        <v>3075</v>
      </c>
      <c r="SD5">
        <v>3080</v>
      </c>
      <c r="SE5">
        <v>3085</v>
      </c>
      <c r="SF5">
        <v>3090</v>
      </c>
      <c r="SG5">
        <v>3095</v>
      </c>
      <c r="SH5">
        <v>3100</v>
      </c>
      <c r="SI5">
        <v>3105</v>
      </c>
      <c r="SJ5">
        <v>3110</v>
      </c>
      <c r="SK5">
        <v>3115</v>
      </c>
      <c r="SL5">
        <v>3120</v>
      </c>
      <c r="SM5">
        <v>3125</v>
      </c>
      <c r="SN5">
        <v>3130</v>
      </c>
      <c r="SO5">
        <v>3135</v>
      </c>
      <c r="SP5">
        <v>3140</v>
      </c>
      <c r="SQ5">
        <v>3145</v>
      </c>
      <c r="SR5">
        <v>3150</v>
      </c>
      <c r="SS5">
        <v>3155</v>
      </c>
      <c r="ST5">
        <v>3160</v>
      </c>
      <c r="SU5">
        <v>3165</v>
      </c>
      <c r="SV5">
        <v>3170</v>
      </c>
      <c r="SW5">
        <v>3175</v>
      </c>
      <c r="SX5">
        <v>3180</v>
      </c>
      <c r="SY5">
        <v>3185</v>
      </c>
      <c r="SZ5">
        <v>3190</v>
      </c>
      <c r="TA5">
        <v>3195</v>
      </c>
      <c r="TB5">
        <v>3200</v>
      </c>
      <c r="TC5">
        <v>3205</v>
      </c>
      <c r="TD5">
        <v>3210</v>
      </c>
      <c r="TE5">
        <v>3215</v>
      </c>
      <c r="TF5">
        <v>3220</v>
      </c>
      <c r="TG5">
        <v>3225</v>
      </c>
      <c r="TH5">
        <v>3230</v>
      </c>
      <c r="TI5">
        <v>3235</v>
      </c>
      <c r="TJ5">
        <v>3240</v>
      </c>
      <c r="TK5">
        <v>3245</v>
      </c>
      <c r="TL5">
        <v>3250</v>
      </c>
      <c r="TM5">
        <v>3255</v>
      </c>
      <c r="TN5">
        <v>3260</v>
      </c>
      <c r="TO5">
        <v>3265</v>
      </c>
      <c r="TP5">
        <v>3270</v>
      </c>
      <c r="TQ5">
        <v>3275</v>
      </c>
      <c r="TR5">
        <v>3280</v>
      </c>
      <c r="TS5">
        <v>3285</v>
      </c>
      <c r="TT5">
        <v>3290</v>
      </c>
      <c r="TU5">
        <v>3295</v>
      </c>
      <c r="TV5">
        <v>3300</v>
      </c>
      <c r="TW5">
        <v>3305</v>
      </c>
      <c r="TX5">
        <v>3310</v>
      </c>
      <c r="TY5">
        <v>3315</v>
      </c>
      <c r="TZ5">
        <v>3320</v>
      </c>
      <c r="UA5">
        <v>3325</v>
      </c>
      <c r="UB5">
        <v>3330</v>
      </c>
      <c r="UC5">
        <v>3335</v>
      </c>
      <c r="UD5">
        <v>3340</v>
      </c>
      <c r="UE5">
        <v>3345</v>
      </c>
      <c r="UF5">
        <v>3350</v>
      </c>
      <c r="UG5">
        <v>3355</v>
      </c>
      <c r="UH5">
        <v>3360</v>
      </c>
      <c r="UI5">
        <v>3365</v>
      </c>
      <c r="UJ5">
        <v>3370</v>
      </c>
      <c r="UK5">
        <v>3375</v>
      </c>
      <c r="UL5">
        <v>3380</v>
      </c>
      <c r="UM5">
        <v>3385</v>
      </c>
      <c r="UN5">
        <v>3390</v>
      </c>
      <c r="UO5">
        <v>3395</v>
      </c>
      <c r="UP5">
        <v>3400</v>
      </c>
      <c r="UQ5">
        <v>3405</v>
      </c>
      <c r="UR5">
        <v>3410</v>
      </c>
      <c r="US5">
        <v>3415</v>
      </c>
      <c r="UT5">
        <v>3420</v>
      </c>
    </row>
    <row r="6" spans="1:566" x14ac:dyDescent="0.2">
      <c r="A6" s="86">
        <v>0</v>
      </c>
      <c r="B6" s="87">
        <v>11.53</v>
      </c>
      <c r="C6" s="87">
        <v>11.62</v>
      </c>
      <c r="D6" s="87">
        <v>11.72</v>
      </c>
      <c r="E6" s="87">
        <v>11.82</v>
      </c>
      <c r="F6" s="87">
        <v>11.91</v>
      </c>
      <c r="G6" s="87">
        <v>12.01</v>
      </c>
      <c r="H6" s="87">
        <v>12.11</v>
      </c>
      <c r="I6" s="87">
        <v>12.2</v>
      </c>
      <c r="J6" s="87">
        <v>12.3</v>
      </c>
      <c r="K6" s="87">
        <v>12.4</v>
      </c>
      <c r="L6" s="87">
        <v>12.49</v>
      </c>
      <c r="M6" s="87">
        <v>12.59</v>
      </c>
      <c r="N6" s="87">
        <v>12.69</v>
      </c>
      <c r="O6" s="87">
        <v>12.78</v>
      </c>
      <c r="P6" s="87">
        <v>12.88</v>
      </c>
      <c r="Q6" s="87">
        <v>12.98</v>
      </c>
      <c r="R6" s="87">
        <v>13.07</v>
      </c>
      <c r="S6" s="87">
        <v>13.17</v>
      </c>
      <c r="T6" s="87">
        <v>13.27</v>
      </c>
      <c r="U6" s="88">
        <v>13.36</v>
      </c>
      <c r="V6" s="87">
        <v>13.46</v>
      </c>
      <c r="W6" s="87">
        <v>13.56</v>
      </c>
      <c r="X6" s="87">
        <v>13.65</v>
      </c>
      <c r="Y6" s="87">
        <v>13.75</v>
      </c>
      <c r="Z6" s="87">
        <v>13.85</v>
      </c>
      <c r="AA6" s="87">
        <v>13.94</v>
      </c>
      <c r="AB6" s="87">
        <v>14.04</v>
      </c>
      <c r="AC6" s="87">
        <v>14.14</v>
      </c>
      <c r="AD6" s="87">
        <v>14.23</v>
      </c>
      <c r="AE6" s="87">
        <v>14.33</v>
      </c>
      <c r="AF6" s="87">
        <v>14.43</v>
      </c>
      <c r="AG6" s="87">
        <v>14.52</v>
      </c>
      <c r="AH6" s="87">
        <v>14.62</v>
      </c>
      <c r="AI6" s="87">
        <v>14.72</v>
      </c>
      <c r="AJ6" s="87">
        <v>14.81</v>
      </c>
      <c r="AK6" s="87">
        <v>14.91</v>
      </c>
      <c r="AL6" s="87">
        <v>15.01</v>
      </c>
      <c r="AM6" s="87">
        <v>15.1</v>
      </c>
      <c r="AN6" s="87">
        <v>15.2</v>
      </c>
      <c r="AO6" s="88">
        <v>15.3</v>
      </c>
      <c r="AP6" s="87">
        <v>15.3935</v>
      </c>
      <c r="AQ6" s="87">
        <v>15.4901707317073</v>
      </c>
      <c r="AR6" s="87">
        <v>15.586841463414601</v>
      </c>
      <c r="AS6" s="87">
        <v>15.683512195121899</v>
      </c>
      <c r="AT6" s="87">
        <v>15.780182926829299</v>
      </c>
      <c r="AU6" s="87">
        <v>15.8768536585366</v>
      </c>
      <c r="AV6" s="87">
        <v>15.973524390243901</v>
      </c>
      <c r="AW6" s="87">
        <v>16.070195121951201</v>
      </c>
      <c r="AX6" s="87">
        <v>16.1668658536585</v>
      </c>
      <c r="AY6" s="87">
        <v>16.263536585365902</v>
      </c>
      <c r="AZ6" s="87">
        <v>16.360207317073201</v>
      </c>
      <c r="BA6" s="87">
        <v>16.456878048780499</v>
      </c>
      <c r="BB6" s="87">
        <v>16.553548780487802</v>
      </c>
      <c r="BC6" s="87">
        <v>16.6502195121951</v>
      </c>
      <c r="BD6" s="87">
        <v>16.746890243902399</v>
      </c>
      <c r="BE6" s="87">
        <v>16.843560975609801</v>
      </c>
      <c r="BF6" s="87">
        <v>16.9402317073171</v>
      </c>
      <c r="BG6" s="87">
        <v>17.036902439024399</v>
      </c>
      <c r="BH6" s="87">
        <v>17.133573170731701</v>
      </c>
      <c r="BI6" s="88">
        <v>17.230243902439</v>
      </c>
      <c r="BJ6" s="87">
        <v>17.326914634146299</v>
      </c>
      <c r="BK6" s="100">
        <v>17.4235853658537</v>
      </c>
      <c r="BL6" s="100">
        <v>17.520256097560999</v>
      </c>
      <c r="BM6" s="100">
        <v>17.616926829268301</v>
      </c>
      <c r="BN6" s="100">
        <v>17.7135975609756</v>
      </c>
      <c r="BO6" s="100">
        <v>17.810268292682899</v>
      </c>
      <c r="BP6" s="100">
        <v>17.906939024390201</v>
      </c>
      <c r="BQ6" s="100">
        <v>18.0036097560976</v>
      </c>
      <c r="BR6" s="100">
        <v>18.100280487804898</v>
      </c>
      <c r="BS6" s="100">
        <v>18.196951219512201</v>
      </c>
      <c r="BT6" s="100">
        <v>18.2936219512195</v>
      </c>
      <c r="BU6" s="100">
        <v>18.390292682926798</v>
      </c>
      <c r="BV6" s="100">
        <v>18.486963414634101</v>
      </c>
      <c r="BW6" s="100">
        <v>18.583634146341499</v>
      </c>
      <c r="BX6" s="100">
        <v>18.680304878048801</v>
      </c>
      <c r="BY6" s="100">
        <v>18.7769756097561</v>
      </c>
      <c r="BZ6" s="100">
        <v>18.873646341463399</v>
      </c>
      <c r="CA6" s="100">
        <v>18.970317073170701</v>
      </c>
      <c r="CB6" s="100">
        <v>19.066987804878</v>
      </c>
      <c r="CC6" s="100">
        <v>19.163658536585402</v>
      </c>
      <c r="CD6" s="100">
        <v>19.260329268292701</v>
      </c>
      <c r="CE6" s="100">
        <v>19.356999999999999</v>
      </c>
      <c r="CF6" s="100">
        <v>19.453670731707302</v>
      </c>
      <c r="CG6" s="100">
        <v>19.5503414634146</v>
      </c>
      <c r="CH6" s="100">
        <v>19.647012195121899</v>
      </c>
      <c r="CI6" s="100">
        <v>19.743682926829301</v>
      </c>
      <c r="CJ6" s="100">
        <v>19.8403536585366</v>
      </c>
      <c r="CK6" s="100">
        <v>19.937024390243899</v>
      </c>
      <c r="CL6" s="100">
        <v>20.033695121951201</v>
      </c>
      <c r="CM6" s="100">
        <v>20.1303658536585</v>
      </c>
      <c r="CN6" s="100">
        <v>20.227036585365902</v>
      </c>
      <c r="CO6" s="100">
        <v>20.3237073170732</v>
      </c>
      <c r="CP6" s="100">
        <v>20.420378048780499</v>
      </c>
      <c r="CQ6" s="100">
        <v>20.517048780487801</v>
      </c>
      <c r="CR6" s="100">
        <v>20.6137195121951</v>
      </c>
      <c r="CS6" s="100">
        <v>20.710390243902399</v>
      </c>
      <c r="CT6" s="100">
        <v>20.807060975609801</v>
      </c>
      <c r="CU6" s="100">
        <v>20.9037317073171</v>
      </c>
      <c r="CV6" s="100">
        <v>21.000402439024398</v>
      </c>
      <c r="CW6" s="100">
        <v>21.097073170731701</v>
      </c>
      <c r="CX6" s="100">
        <v>21.193743902439</v>
      </c>
      <c r="CY6" s="100">
        <v>21.290414634146298</v>
      </c>
      <c r="CZ6" s="100">
        <v>21.3870853658537</v>
      </c>
      <c r="DA6" s="100">
        <v>21.483756097560999</v>
      </c>
      <c r="DB6" s="100">
        <v>21.580426829268301</v>
      </c>
      <c r="DC6" s="100">
        <v>21.6770975609756</v>
      </c>
      <c r="DD6" s="100">
        <v>21.773768292682899</v>
      </c>
      <c r="DE6" s="100">
        <v>21.870439024390201</v>
      </c>
      <c r="DF6" s="100">
        <v>21.9671097560975</v>
      </c>
      <c r="DG6" s="100">
        <v>22.063780487804902</v>
      </c>
      <c r="DH6" s="100">
        <v>22.160451219512201</v>
      </c>
      <c r="DI6" s="100">
        <v>22.257121951219499</v>
      </c>
      <c r="DJ6" s="100">
        <v>22.353792682926802</v>
      </c>
      <c r="DK6" s="100">
        <v>22.4504634146341</v>
      </c>
      <c r="DL6" s="100">
        <v>22.547134146341399</v>
      </c>
      <c r="DM6" s="100">
        <v>22.643804878048801</v>
      </c>
      <c r="DN6" s="100">
        <v>22.7404756097561</v>
      </c>
      <c r="DO6" s="100">
        <v>22.837146341463399</v>
      </c>
      <c r="DP6" s="100">
        <v>22.933817073170701</v>
      </c>
      <c r="DQ6" s="100">
        <v>23.030487804878</v>
      </c>
      <c r="DR6" s="100">
        <v>23.127158536585299</v>
      </c>
      <c r="DS6" s="100">
        <v>23.2238292682927</v>
      </c>
      <c r="DT6" s="100">
        <v>23.320499999999999</v>
      </c>
      <c r="DU6" s="100">
        <v>23.417170731707301</v>
      </c>
      <c r="DV6" s="100">
        <v>23.5138414634146</v>
      </c>
      <c r="DW6" s="100">
        <v>23.610512195121899</v>
      </c>
      <c r="DX6" s="100">
        <v>23.707182926829301</v>
      </c>
      <c r="DY6" s="100">
        <v>23.8038536585366</v>
      </c>
      <c r="DZ6" s="100">
        <v>23.900524390243898</v>
      </c>
      <c r="EA6" s="100">
        <v>23.997195121951201</v>
      </c>
      <c r="EB6" s="100">
        <v>24.0938658536585</v>
      </c>
      <c r="EC6" s="100">
        <v>24.190536585365798</v>
      </c>
      <c r="ED6" s="100">
        <v>24.2872073170732</v>
      </c>
      <c r="EE6" s="100">
        <v>24.383878048780499</v>
      </c>
      <c r="EF6" s="100">
        <v>24.480548780487801</v>
      </c>
      <c r="EG6" s="100">
        <v>24.5772195121951</v>
      </c>
      <c r="EH6" s="100">
        <v>24.673890243902399</v>
      </c>
      <c r="EI6" s="100">
        <v>24.770560975609701</v>
      </c>
      <c r="EJ6" s="100">
        <v>24.867231707317099</v>
      </c>
      <c r="EK6" s="100">
        <v>24.963902439024402</v>
      </c>
      <c r="EL6" s="100">
        <v>25.060573170731701</v>
      </c>
      <c r="EM6" s="100">
        <v>25.157243902438999</v>
      </c>
      <c r="EN6" s="100">
        <v>25.253914634146302</v>
      </c>
      <c r="EO6" s="100">
        <v>25.3505853658536</v>
      </c>
      <c r="EP6" s="100">
        <v>25.447256097560999</v>
      </c>
      <c r="EQ6" s="100">
        <v>25.543926829268301</v>
      </c>
      <c r="ER6" s="100">
        <v>25.6405975609756</v>
      </c>
      <c r="ES6" s="100">
        <v>25.737268292682899</v>
      </c>
      <c r="ET6" s="100">
        <v>25.833939024390201</v>
      </c>
      <c r="EU6" s="100">
        <v>25.9306097560975</v>
      </c>
      <c r="EV6" s="100">
        <v>26.027280487804902</v>
      </c>
      <c r="EW6" s="100">
        <v>26.1239512195122</v>
      </c>
      <c r="EX6" s="100">
        <v>26.220621951219499</v>
      </c>
      <c r="EY6" s="100">
        <v>26.317292682926801</v>
      </c>
      <c r="EZ6" s="100">
        <v>26.4139634146341</v>
      </c>
      <c r="FA6" s="100">
        <v>26.510634146341399</v>
      </c>
      <c r="FB6" s="100">
        <v>26.607304878048801</v>
      </c>
      <c r="FC6" s="100">
        <v>26.7039756097561</v>
      </c>
      <c r="FD6" s="100">
        <v>26.800646341463398</v>
      </c>
      <c r="FE6" s="100">
        <v>26.897317073170701</v>
      </c>
      <c r="FF6" s="100">
        <v>26.993987804878</v>
      </c>
      <c r="FG6" s="100">
        <v>27.090658536585298</v>
      </c>
      <c r="FH6" s="100">
        <v>27.1873292682927</v>
      </c>
      <c r="FI6" s="100">
        <v>27.283999999999999</v>
      </c>
      <c r="FJ6" s="100">
        <v>27.380670731707301</v>
      </c>
      <c r="FK6" s="100">
        <v>27.4773414634146</v>
      </c>
      <c r="FL6" s="100">
        <v>27.574012195121899</v>
      </c>
      <c r="FM6" s="100">
        <v>27.670682926829301</v>
      </c>
      <c r="FN6" s="100">
        <v>27.767353658536599</v>
      </c>
      <c r="FO6" s="100">
        <v>27.864024390243902</v>
      </c>
      <c r="FP6" s="100">
        <v>27.960695121951201</v>
      </c>
      <c r="FQ6" s="100">
        <v>28.057365853658499</v>
      </c>
      <c r="FR6" s="100">
        <v>28.154036585365802</v>
      </c>
      <c r="FS6" s="100">
        <v>28.2507073170732</v>
      </c>
      <c r="FT6" s="100">
        <v>28.347378048780499</v>
      </c>
      <c r="FU6" s="100">
        <v>28.444048780487801</v>
      </c>
      <c r="FV6" s="100">
        <v>28.5407195121951</v>
      </c>
      <c r="FW6" s="100">
        <v>28.637390243902399</v>
      </c>
      <c r="FX6" s="100">
        <v>28.734060975609701</v>
      </c>
      <c r="FY6" s="100">
        <v>28.830731707317099</v>
      </c>
      <c r="FZ6" s="100">
        <v>28.927402439024402</v>
      </c>
      <c r="GA6" s="100">
        <v>29.0240731707317</v>
      </c>
      <c r="GB6" s="100">
        <v>29.120743902438999</v>
      </c>
      <c r="GC6" s="100">
        <v>29.217414634146301</v>
      </c>
      <c r="GD6" s="100">
        <v>29.3140853658536</v>
      </c>
      <c r="GE6" s="100">
        <v>29.410756097560999</v>
      </c>
      <c r="GF6" s="100">
        <v>29.507426829268301</v>
      </c>
      <c r="GG6" s="100">
        <v>29.6040975609756</v>
      </c>
      <c r="GH6" s="100">
        <v>29.700768292682898</v>
      </c>
      <c r="GI6" s="100">
        <v>29.797439024390201</v>
      </c>
      <c r="GJ6" s="100">
        <v>29.8941097560975</v>
      </c>
      <c r="GK6" s="100">
        <v>29.990780487804901</v>
      </c>
      <c r="GL6" s="100">
        <v>30.0874512195122</v>
      </c>
      <c r="GM6" s="100">
        <v>30.184121951219499</v>
      </c>
      <c r="GN6" s="100">
        <v>30.280792682926801</v>
      </c>
      <c r="GO6" s="100">
        <v>30.3774634146341</v>
      </c>
      <c r="GP6" s="100">
        <v>30.474134146341399</v>
      </c>
      <c r="GQ6" s="100">
        <v>30.570804878048801</v>
      </c>
      <c r="GR6" s="100">
        <v>30.667475609756099</v>
      </c>
      <c r="GS6" s="100">
        <v>30.764146341463402</v>
      </c>
      <c r="GT6" s="100">
        <v>30.860817073170701</v>
      </c>
      <c r="GU6" s="100">
        <v>30.957487804877999</v>
      </c>
      <c r="GV6" s="100">
        <v>31.054158536585302</v>
      </c>
      <c r="GW6" s="100">
        <v>31.1508292682927</v>
      </c>
      <c r="GX6" s="100">
        <v>31.247499999999999</v>
      </c>
      <c r="GY6" s="100">
        <v>31.344170731707301</v>
      </c>
      <c r="GZ6" s="100">
        <v>31.4408414634146</v>
      </c>
      <c r="HA6" s="100">
        <v>31.537512195121899</v>
      </c>
      <c r="HB6" s="100">
        <v>31.6341829268293</v>
      </c>
      <c r="HC6" s="100">
        <v>31.730853658536599</v>
      </c>
      <c r="HD6" s="100">
        <v>31.827524390243902</v>
      </c>
      <c r="HE6" s="100">
        <v>31.9241951219512</v>
      </c>
      <c r="HF6" s="100">
        <v>32.020865853658499</v>
      </c>
      <c r="HG6" s="100">
        <v>32.117536585365798</v>
      </c>
      <c r="HH6" s="100">
        <v>32.214207317073203</v>
      </c>
      <c r="HI6" s="100">
        <v>32.310878048780502</v>
      </c>
      <c r="HJ6" s="100">
        <v>32.407548780487801</v>
      </c>
      <c r="HK6" s="100">
        <v>32.5042195121951</v>
      </c>
      <c r="HL6" s="100">
        <v>32.600890243902398</v>
      </c>
      <c r="HM6" s="100">
        <v>32.697560975609697</v>
      </c>
      <c r="HN6" s="100">
        <v>32.794231707317103</v>
      </c>
      <c r="HO6" s="100">
        <v>32.890902439024401</v>
      </c>
      <c r="HP6" s="100">
        <v>32.9875731707317</v>
      </c>
      <c r="HQ6" s="100">
        <v>33.084243902438999</v>
      </c>
      <c r="HR6" s="100">
        <v>33.180914634146298</v>
      </c>
      <c r="HS6" s="100">
        <v>33.277585365853596</v>
      </c>
      <c r="HT6" s="100">
        <v>33.374256097561002</v>
      </c>
      <c r="HU6" s="100">
        <v>33.470926829268301</v>
      </c>
      <c r="HV6" s="100">
        <v>33.567597560975599</v>
      </c>
      <c r="HW6" s="100">
        <v>33.664268292682898</v>
      </c>
      <c r="HX6" s="100">
        <v>33.760939024390197</v>
      </c>
      <c r="HY6" s="100">
        <v>33.857609756097503</v>
      </c>
      <c r="HZ6" s="100">
        <v>33.954280487804901</v>
      </c>
      <c r="IA6" s="100">
        <v>34.0509512195122</v>
      </c>
      <c r="IB6" s="100">
        <v>34.147621951219499</v>
      </c>
      <c r="IC6" s="100">
        <v>34.244292682926798</v>
      </c>
      <c r="ID6" s="100">
        <v>34.340963414634103</v>
      </c>
      <c r="IE6" s="100">
        <v>34.437634146341402</v>
      </c>
      <c r="IF6" s="100">
        <v>34.5343048780488</v>
      </c>
      <c r="IG6" s="100">
        <v>34.630975609756099</v>
      </c>
      <c r="IH6" s="100">
        <v>34.727646341463398</v>
      </c>
      <c r="II6" s="100">
        <v>34.824317073170697</v>
      </c>
      <c r="IJ6" s="100">
        <v>34.920987804878003</v>
      </c>
      <c r="IK6" s="100">
        <v>35.017658536585301</v>
      </c>
      <c r="IL6" s="100">
        <v>35.1143292682927</v>
      </c>
      <c r="IM6" s="100">
        <v>35.210999999999999</v>
      </c>
      <c r="IN6" s="100">
        <v>35.307670731707297</v>
      </c>
      <c r="IO6" s="100">
        <v>35.404341463414603</v>
      </c>
      <c r="IP6" s="100">
        <v>35.501012195121902</v>
      </c>
      <c r="IQ6" s="100">
        <v>35.5976829268293</v>
      </c>
      <c r="IR6" s="100">
        <v>35.694353658536599</v>
      </c>
      <c r="IS6" s="100">
        <v>35.791024390243898</v>
      </c>
      <c r="IT6" s="100">
        <v>35.887695121951197</v>
      </c>
      <c r="IU6" s="100">
        <v>35.984365853658502</v>
      </c>
      <c r="IV6" s="100">
        <v>36.081036585365801</v>
      </c>
      <c r="IW6" s="100">
        <v>36.1777073170732</v>
      </c>
      <c r="IX6" s="100">
        <v>36.274378048780498</v>
      </c>
      <c r="IY6" s="100">
        <v>36.371048780487797</v>
      </c>
      <c r="IZ6" s="100">
        <v>36.467719512195103</v>
      </c>
      <c r="JA6" s="100">
        <v>36.564390243902402</v>
      </c>
      <c r="JB6" s="100">
        <v>36.661060975609701</v>
      </c>
      <c r="JC6" s="100">
        <v>36.757731707317099</v>
      </c>
      <c r="JD6" s="100">
        <v>36.854402439024398</v>
      </c>
      <c r="JE6" s="100">
        <v>36.951073170731703</v>
      </c>
      <c r="JF6" s="100">
        <v>37.047743902439002</v>
      </c>
      <c r="JG6" s="100">
        <v>37.144414634146301</v>
      </c>
      <c r="JH6" s="100">
        <v>37.2410853658536</v>
      </c>
      <c r="JI6" s="100">
        <v>37.337756097560998</v>
      </c>
      <c r="JJ6" s="100">
        <v>37.434426829268297</v>
      </c>
      <c r="JK6" s="100">
        <v>37.531097560975603</v>
      </c>
      <c r="JL6" s="100">
        <v>37.627768292682902</v>
      </c>
      <c r="JM6" s="100">
        <v>37.7244390243902</v>
      </c>
      <c r="JN6" s="100">
        <v>37.821109756097499</v>
      </c>
      <c r="JO6" s="100">
        <v>37.917780487804897</v>
      </c>
      <c r="JP6" s="100">
        <v>38.014451219512203</v>
      </c>
      <c r="JQ6" s="100">
        <v>38.111121951219502</v>
      </c>
      <c r="JR6" s="100">
        <v>38.207792682926801</v>
      </c>
      <c r="JS6" s="100">
        <v>38.3044634146341</v>
      </c>
      <c r="JT6" s="100">
        <v>38.401134146341398</v>
      </c>
      <c r="JU6" s="100">
        <v>38.497804878048797</v>
      </c>
      <c r="JV6" s="100">
        <v>38.594475609756103</v>
      </c>
      <c r="JW6" s="100">
        <v>38.691146341463401</v>
      </c>
      <c r="JX6" s="100">
        <v>38.7878170731707</v>
      </c>
      <c r="JY6" s="100">
        <v>38.884487804877999</v>
      </c>
      <c r="JZ6" s="100">
        <v>38.981158536585298</v>
      </c>
      <c r="KA6" s="100">
        <v>39.077829268292703</v>
      </c>
      <c r="KB6" s="100">
        <v>39.174500000000002</v>
      </c>
      <c r="KC6" s="100">
        <v>39.271170731707301</v>
      </c>
      <c r="KD6" s="100">
        <v>39.367841463414599</v>
      </c>
      <c r="KE6" s="100">
        <v>39.464512195121898</v>
      </c>
      <c r="KF6" s="100">
        <v>39.561182926829296</v>
      </c>
      <c r="KG6" s="100">
        <v>39.657853658536602</v>
      </c>
      <c r="KH6" s="100">
        <v>39.754524390243901</v>
      </c>
      <c r="KI6" s="100">
        <v>39.8511951219512</v>
      </c>
      <c r="KJ6" s="100">
        <v>39.947865853658499</v>
      </c>
      <c r="KK6" s="100">
        <v>40.044536585365798</v>
      </c>
      <c r="KL6" s="100">
        <v>40.141207317073203</v>
      </c>
      <c r="KM6" s="100">
        <v>40.237878048780502</v>
      </c>
      <c r="KN6" s="100">
        <v>40.3345487804878</v>
      </c>
      <c r="KO6" s="100">
        <v>40.431219512195099</v>
      </c>
      <c r="KP6" s="100">
        <v>40.527890243902398</v>
      </c>
      <c r="KQ6" s="100">
        <v>40.624560975609697</v>
      </c>
      <c r="KR6" s="100">
        <v>40.721231707317102</v>
      </c>
      <c r="KS6" s="100">
        <v>40.817902439024401</v>
      </c>
      <c r="KT6" s="100">
        <v>40.9145731707317</v>
      </c>
      <c r="KU6" s="100">
        <v>41.011243902438999</v>
      </c>
      <c r="KV6" s="100">
        <v>41.107914634146297</v>
      </c>
      <c r="KW6" s="100">
        <v>41.204585365853603</v>
      </c>
      <c r="KX6" s="100">
        <v>41.301256097561001</v>
      </c>
      <c r="KY6" s="100">
        <v>41.3979268292683</v>
      </c>
      <c r="KZ6" s="100">
        <v>41.494597560975599</v>
      </c>
      <c r="LA6" s="100">
        <v>41.591268292682898</v>
      </c>
      <c r="LB6" s="100">
        <v>41.687939024390197</v>
      </c>
      <c r="LC6" s="100">
        <v>41.784609756097502</v>
      </c>
      <c r="LD6" s="100">
        <v>41.881280487804901</v>
      </c>
      <c r="LE6" s="100">
        <v>41.9779512195122</v>
      </c>
      <c r="LF6" s="100">
        <v>42.074621951219498</v>
      </c>
      <c r="LG6" s="100">
        <v>42.171292682926797</v>
      </c>
      <c r="LH6" s="100">
        <v>42.267963414634103</v>
      </c>
      <c r="LI6" s="100">
        <v>42.364634146341402</v>
      </c>
      <c r="LJ6" s="100">
        <v>42.4613048780488</v>
      </c>
      <c r="LK6" s="100">
        <v>42.557975609756099</v>
      </c>
      <c r="LL6" s="100">
        <v>42.654646341463398</v>
      </c>
      <c r="LM6" s="100">
        <v>42.751317073170704</v>
      </c>
      <c r="LN6" s="100">
        <v>42.847987804878002</v>
      </c>
      <c r="LO6" s="100">
        <v>42.944658536585301</v>
      </c>
      <c r="LP6" s="100">
        <v>43.041329268292699</v>
      </c>
      <c r="LQ6" s="100">
        <v>43.137999999999998</v>
      </c>
      <c r="LR6" s="100">
        <v>43.234670731707297</v>
      </c>
      <c r="LS6" s="100">
        <v>43.331341463414603</v>
      </c>
      <c r="LT6" s="100">
        <v>43.428012195121902</v>
      </c>
      <c r="LU6" s="100">
        <v>43.5246829268293</v>
      </c>
      <c r="LV6" s="100">
        <v>43.621353658536599</v>
      </c>
      <c r="LW6" s="100">
        <v>43.718024390243897</v>
      </c>
      <c r="LX6" s="100">
        <v>43.814695121951203</v>
      </c>
      <c r="LY6" s="100">
        <v>43.911365853658502</v>
      </c>
      <c r="LZ6" s="100">
        <v>44.008036585365801</v>
      </c>
      <c r="MA6" s="100">
        <v>44.104707317073199</v>
      </c>
      <c r="MB6" s="100">
        <v>44.201378048780498</v>
      </c>
      <c r="MC6" s="100">
        <v>44.298048780487797</v>
      </c>
      <c r="MD6" s="100">
        <v>44.394719512195103</v>
      </c>
      <c r="ME6" s="100">
        <v>44.491390243902401</v>
      </c>
      <c r="MF6" s="100">
        <v>44.5880609756097</v>
      </c>
      <c r="MG6" s="100">
        <v>44.684731707317098</v>
      </c>
      <c r="MH6" s="100">
        <v>44.781402439024397</v>
      </c>
      <c r="MI6" s="100">
        <v>44.878073170731703</v>
      </c>
      <c r="MJ6" s="100">
        <v>44.974743902439002</v>
      </c>
      <c r="MK6" s="100">
        <v>45.071414634146301</v>
      </c>
      <c r="ML6" s="100">
        <v>45.168085365853599</v>
      </c>
      <c r="MM6" s="100">
        <v>45.264756097560998</v>
      </c>
      <c r="MN6" s="100">
        <v>45.361426829268297</v>
      </c>
      <c r="MO6" s="100">
        <v>45.458097560975602</v>
      </c>
      <c r="MP6" s="100">
        <v>45.554768292682901</v>
      </c>
      <c r="MQ6" s="100">
        <v>45.6514390243902</v>
      </c>
      <c r="MR6" s="100">
        <v>45.748109756097499</v>
      </c>
      <c r="MS6" s="100">
        <v>45.844780487804897</v>
      </c>
      <c r="MT6" s="100">
        <v>45.941451219512203</v>
      </c>
      <c r="MU6" s="100">
        <v>46.038121951219502</v>
      </c>
      <c r="MV6" s="100">
        <v>46.1347926829268</v>
      </c>
      <c r="MW6" s="100">
        <v>46.231463414634099</v>
      </c>
      <c r="MX6" s="100">
        <v>46.328134146341398</v>
      </c>
      <c r="MY6" s="100">
        <v>46.424804878048803</v>
      </c>
      <c r="MZ6" s="100">
        <v>46.521475609756102</v>
      </c>
      <c r="NA6" s="100">
        <v>46.618146341463401</v>
      </c>
      <c r="NB6" s="100">
        <v>46.7148170731707</v>
      </c>
      <c r="NC6" s="100">
        <v>46.811487804877999</v>
      </c>
      <c r="ND6" s="100">
        <v>46.908158536585297</v>
      </c>
      <c r="NE6" s="100">
        <v>47.004829268292703</v>
      </c>
      <c r="NF6" s="100">
        <v>47.101500000000001</v>
      </c>
      <c r="NG6" s="100">
        <v>47.1981707317073</v>
      </c>
      <c r="NH6" s="100">
        <v>47.294841463414599</v>
      </c>
      <c r="NI6" s="100">
        <v>47.391512195121898</v>
      </c>
      <c r="NJ6" s="100">
        <v>47.488182926829303</v>
      </c>
      <c r="NK6" s="100">
        <v>47.584853658536602</v>
      </c>
      <c r="NL6" s="100">
        <v>47.681524390243901</v>
      </c>
      <c r="NM6" s="100">
        <v>47.7781951219512</v>
      </c>
      <c r="NN6" s="100">
        <v>47.874865853658498</v>
      </c>
      <c r="NO6" s="100">
        <v>47.971536585365797</v>
      </c>
      <c r="NP6" s="100">
        <v>48.068207317073202</v>
      </c>
      <c r="NQ6" s="100">
        <v>48.164878048780501</v>
      </c>
      <c r="NR6" s="100">
        <v>48.2615487804878</v>
      </c>
      <c r="NS6" s="100">
        <v>48.358219512195099</v>
      </c>
      <c r="NT6" s="100">
        <v>48.454890243902398</v>
      </c>
      <c r="NU6" s="100">
        <v>48.551560975609704</v>
      </c>
      <c r="NV6" s="100">
        <v>48.648231707317102</v>
      </c>
      <c r="NW6" s="100">
        <v>48.744902439024401</v>
      </c>
      <c r="NX6" s="100">
        <v>48.841573170731699</v>
      </c>
      <c r="NY6" s="100">
        <v>48.938243902438998</v>
      </c>
      <c r="NZ6" s="100">
        <v>49.034914634146297</v>
      </c>
      <c r="OA6" s="100">
        <v>49.131585365853603</v>
      </c>
      <c r="OB6" s="100">
        <v>49.228256097561001</v>
      </c>
      <c r="OC6" s="100">
        <v>49.3249268292683</v>
      </c>
      <c r="OD6" s="100">
        <v>49.421597560975599</v>
      </c>
      <c r="OE6" s="100">
        <v>49.518268292682897</v>
      </c>
      <c r="OF6" s="100">
        <v>49.614939024390203</v>
      </c>
      <c r="OG6" s="100">
        <v>49.711609756097502</v>
      </c>
      <c r="OH6" s="100">
        <v>49.8082804878049</v>
      </c>
      <c r="OI6" s="100">
        <v>49.904951219512199</v>
      </c>
      <c r="OJ6" s="100">
        <v>50.001621951219498</v>
      </c>
      <c r="OK6" s="100">
        <v>50.098292682926797</v>
      </c>
      <c r="OL6" s="100">
        <v>50.194963414634103</v>
      </c>
      <c r="OM6" s="100">
        <v>50.291634146341401</v>
      </c>
      <c r="ON6" s="100">
        <v>50.3883048780488</v>
      </c>
      <c r="OO6" s="100">
        <v>50.484975609756098</v>
      </c>
      <c r="OP6" s="100">
        <v>50.581646341463397</v>
      </c>
      <c r="OQ6" s="100">
        <v>50.678317073170703</v>
      </c>
      <c r="OR6" s="100">
        <v>50.774987804878002</v>
      </c>
      <c r="OS6" s="100">
        <v>50.8716585365854</v>
      </c>
      <c r="OT6" s="100">
        <v>50.968329268292699</v>
      </c>
      <c r="OU6" s="100">
        <v>51.064999999999998</v>
      </c>
      <c r="OV6" s="100">
        <v>51.161670731707297</v>
      </c>
      <c r="OW6" s="100">
        <v>51.258341463414602</v>
      </c>
      <c r="OX6" s="100">
        <v>51.355012195121901</v>
      </c>
      <c r="OY6" s="100">
        <v>51.451682926829299</v>
      </c>
      <c r="OZ6" s="100">
        <v>51.548353658536598</v>
      </c>
      <c r="PA6" s="100">
        <v>51.645024390243897</v>
      </c>
      <c r="PB6" s="100">
        <v>51.741695121951203</v>
      </c>
      <c r="PC6" s="100">
        <v>51.838365853658502</v>
      </c>
      <c r="PD6" s="100">
        <v>51.9350365853658</v>
      </c>
      <c r="PE6" s="100">
        <v>52.031707317073199</v>
      </c>
      <c r="PF6" s="100">
        <v>52.128378048780498</v>
      </c>
      <c r="PG6" s="100">
        <v>52.225048780487803</v>
      </c>
      <c r="PH6" s="100">
        <v>52.321719512195102</v>
      </c>
      <c r="PI6" s="100">
        <v>52.418390243902401</v>
      </c>
      <c r="PJ6" s="100">
        <v>52.5150609756097</v>
      </c>
      <c r="PK6" s="100">
        <v>52.611731707317098</v>
      </c>
      <c r="PL6" s="100">
        <v>52.708402439024397</v>
      </c>
      <c r="PM6" s="100">
        <v>52.805073170731703</v>
      </c>
      <c r="PN6" s="100">
        <v>52.901743902439001</v>
      </c>
      <c r="PO6" s="100">
        <v>52.9984146341463</v>
      </c>
      <c r="PP6" s="100">
        <v>53.095085365853599</v>
      </c>
      <c r="PQ6" s="100">
        <v>53.191756097560997</v>
      </c>
      <c r="PR6" s="100">
        <v>53.288426829268303</v>
      </c>
      <c r="PS6" s="100">
        <v>53.385097560975602</v>
      </c>
      <c r="PT6" s="100">
        <v>53.481768292682901</v>
      </c>
      <c r="PU6" s="100">
        <v>53.5784390243902</v>
      </c>
      <c r="PV6" s="100">
        <v>53.675109756097498</v>
      </c>
      <c r="PW6" s="100">
        <v>53.771780487804897</v>
      </c>
      <c r="PX6" s="100">
        <v>53.868451219512202</v>
      </c>
      <c r="PY6" s="100">
        <v>53.965121951219501</v>
      </c>
      <c r="PZ6" s="100">
        <v>54.0617926829268</v>
      </c>
      <c r="QA6" s="100">
        <v>54.158463414634099</v>
      </c>
      <c r="QB6" s="100">
        <v>54.255134146341398</v>
      </c>
      <c r="QC6" s="100">
        <v>54.351804878048803</v>
      </c>
      <c r="QD6" s="100">
        <v>54.448475609756102</v>
      </c>
      <c r="QE6" s="100">
        <v>54.545146341463401</v>
      </c>
      <c r="QF6" s="100">
        <v>54.641817073170699</v>
      </c>
      <c r="QG6" s="100">
        <v>54.738487804877998</v>
      </c>
      <c r="QH6" s="100">
        <v>54.835158536585297</v>
      </c>
      <c r="QI6" s="100">
        <v>54.931829268292702</v>
      </c>
      <c r="QJ6" s="100">
        <v>55.028500000000001</v>
      </c>
      <c r="QK6" s="100">
        <v>55.1251707317073</v>
      </c>
      <c r="QL6" s="100">
        <v>55.221841463414599</v>
      </c>
      <c r="QM6" s="100">
        <v>55.318512195121897</v>
      </c>
      <c r="QN6" s="100">
        <v>55.415182926829303</v>
      </c>
      <c r="QO6" s="100">
        <v>55.511853658536602</v>
      </c>
      <c r="QP6" s="100">
        <v>55.6085243902439</v>
      </c>
      <c r="QQ6" s="100">
        <v>55.705195121951199</v>
      </c>
      <c r="QR6" s="100">
        <v>55.801865853658498</v>
      </c>
      <c r="QS6" s="100">
        <v>55.898536585365797</v>
      </c>
      <c r="QT6" s="100">
        <v>55.995207317073202</v>
      </c>
      <c r="QU6" s="100">
        <v>56.091878048780501</v>
      </c>
      <c r="QV6" s="100">
        <v>56.1885487804878</v>
      </c>
      <c r="QW6" s="100">
        <v>56.285219512195098</v>
      </c>
      <c r="QX6" s="100">
        <v>56.381890243902397</v>
      </c>
      <c r="QY6" s="100">
        <v>56.478560975609703</v>
      </c>
      <c r="QZ6" s="100">
        <v>56.575231707317101</v>
      </c>
      <c r="RA6" s="100">
        <v>56.6719024390244</v>
      </c>
      <c r="RB6" s="100">
        <v>56.768573170731699</v>
      </c>
      <c r="RC6" s="100">
        <v>56.865243902438998</v>
      </c>
      <c r="RD6" s="100">
        <v>56.961914634146297</v>
      </c>
      <c r="RE6" s="100">
        <v>57.058585365853602</v>
      </c>
      <c r="RF6" s="100">
        <v>57.155256097561001</v>
      </c>
      <c r="RG6" s="100">
        <v>57.251926829268299</v>
      </c>
      <c r="RH6" s="100">
        <v>57.348597560975598</v>
      </c>
      <c r="RI6" s="100">
        <v>57.445268292682897</v>
      </c>
      <c r="RJ6" s="100">
        <v>57.541939024390203</v>
      </c>
      <c r="RK6" s="100">
        <v>57.638609756097502</v>
      </c>
      <c r="RL6" s="100">
        <v>57.7352804878049</v>
      </c>
      <c r="RM6" s="100">
        <v>57.831951219512199</v>
      </c>
      <c r="RN6" s="100">
        <v>57.928621951219498</v>
      </c>
      <c r="RO6" s="100">
        <v>58.025292682926803</v>
      </c>
      <c r="RP6" s="100">
        <v>58.121963414634102</v>
      </c>
      <c r="RQ6" s="100">
        <v>58.218634146341401</v>
      </c>
      <c r="RR6" s="100">
        <v>58.315304878048799</v>
      </c>
      <c r="RS6" s="100">
        <v>58.411975609756098</v>
      </c>
      <c r="RT6" s="100">
        <v>58.508646341463397</v>
      </c>
      <c r="RU6" s="100">
        <v>58.605317073170703</v>
      </c>
      <c r="RV6" s="100">
        <v>58.701987804878001</v>
      </c>
      <c r="RW6" s="100">
        <v>58.7986585365854</v>
      </c>
      <c r="RX6" s="100">
        <v>58.895329268292699</v>
      </c>
      <c r="RY6" s="100">
        <v>58.991999999999997</v>
      </c>
      <c r="RZ6" s="100">
        <v>59.088670731707303</v>
      </c>
      <c r="SA6" s="100">
        <v>59.185341463414602</v>
      </c>
      <c r="SB6" s="100">
        <v>59.282012195121901</v>
      </c>
      <c r="SC6" s="100">
        <v>59.378682926829299</v>
      </c>
      <c r="SD6" s="100">
        <v>59.475353658536598</v>
      </c>
      <c r="SE6" s="100">
        <v>59.572024390243897</v>
      </c>
      <c r="SF6" s="100">
        <v>59.668695121951203</v>
      </c>
      <c r="SG6" s="100">
        <v>59.765365853658501</v>
      </c>
      <c r="SH6" s="100">
        <v>59.8620365853658</v>
      </c>
      <c r="SI6" s="100">
        <v>59.958707317073198</v>
      </c>
      <c r="SJ6" s="100">
        <v>60.055378048780497</v>
      </c>
      <c r="SK6" s="100">
        <v>60.152048780487803</v>
      </c>
      <c r="SL6" s="100">
        <v>60.248719512195102</v>
      </c>
      <c r="SM6" s="100">
        <v>60.345390243902401</v>
      </c>
      <c r="SN6" s="100">
        <v>60.442060975609699</v>
      </c>
      <c r="SO6" s="100">
        <v>60.538731707317098</v>
      </c>
      <c r="SP6" s="100">
        <v>60.635402439024404</v>
      </c>
      <c r="SQ6" s="100">
        <v>60.732073170731702</v>
      </c>
      <c r="SR6" s="100">
        <v>60.828743902439001</v>
      </c>
      <c r="SS6" s="100">
        <v>60.9254146341463</v>
      </c>
      <c r="ST6" s="100">
        <v>61.022085365853599</v>
      </c>
      <c r="SU6" s="100">
        <v>61.118756097560997</v>
      </c>
      <c r="SV6" s="100">
        <v>61.215426829268303</v>
      </c>
      <c r="SW6" s="100">
        <v>61.312097560975602</v>
      </c>
      <c r="SX6" s="100">
        <v>61.4087682926829</v>
      </c>
      <c r="SY6" s="100">
        <v>61.505439024390199</v>
      </c>
      <c r="SZ6" s="100">
        <v>61.602109756097498</v>
      </c>
      <c r="TA6" s="100">
        <v>61.698780487804903</v>
      </c>
      <c r="TB6" s="100">
        <v>61.795451219512202</v>
      </c>
      <c r="TC6" s="100">
        <v>61.892121951219501</v>
      </c>
      <c r="TD6" s="100">
        <v>61.9887926829268</v>
      </c>
      <c r="TE6" s="100">
        <v>62.085463414634098</v>
      </c>
      <c r="TF6" s="100">
        <v>62.182134146341397</v>
      </c>
      <c r="TG6" s="100">
        <v>62.278804878048803</v>
      </c>
      <c r="TH6" s="100">
        <v>62.375475609756101</v>
      </c>
      <c r="TI6" s="100">
        <v>62.4721463414634</v>
      </c>
      <c r="TJ6" s="100">
        <v>62.568817073170699</v>
      </c>
      <c r="TK6" s="100">
        <v>62.665487804877998</v>
      </c>
      <c r="TL6" s="100">
        <v>62.762158536585297</v>
      </c>
      <c r="TM6" s="100">
        <v>62.858829268292702</v>
      </c>
      <c r="TN6" s="100">
        <v>62.955500000000001</v>
      </c>
      <c r="TO6" s="100">
        <v>63.052170731707299</v>
      </c>
      <c r="TP6" s="100">
        <v>63.148841463414598</v>
      </c>
      <c r="TQ6" s="100">
        <v>63.245512195121897</v>
      </c>
      <c r="TR6" s="100">
        <v>63.342182926829302</v>
      </c>
      <c r="TS6" s="100">
        <v>63.438853658536601</v>
      </c>
      <c r="TT6" s="100">
        <v>63.5355243902439</v>
      </c>
      <c r="TU6" s="100">
        <v>63.632195121951199</v>
      </c>
      <c r="TV6" s="100">
        <v>63.728865853658498</v>
      </c>
      <c r="TW6" s="100">
        <v>63.825536585365803</v>
      </c>
      <c r="TX6" s="100">
        <v>63.922207317073202</v>
      </c>
      <c r="TY6" s="100">
        <v>64.018878048780493</v>
      </c>
      <c r="TZ6" s="100">
        <v>64.115548780487799</v>
      </c>
      <c r="UA6" s="100">
        <v>64.212219512195105</v>
      </c>
      <c r="UB6" s="100">
        <v>64.308890243902397</v>
      </c>
      <c r="UC6" s="100">
        <v>64.405560975609703</v>
      </c>
      <c r="UD6" s="100">
        <v>64.502231707317094</v>
      </c>
      <c r="UE6" s="100">
        <v>64.5989024390244</v>
      </c>
      <c r="UF6" s="100">
        <v>64.695573170731706</v>
      </c>
      <c r="UG6" s="100">
        <v>64.792243902438997</v>
      </c>
      <c r="UH6" s="100">
        <v>64.888914634146303</v>
      </c>
      <c r="UI6" s="100">
        <v>64.985585365853595</v>
      </c>
      <c r="UJ6" s="100">
        <v>65.082256097561</v>
      </c>
      <c r="UK6" s="100">
        <v>65.178926829268306</v>
      </c>
      <c r="UL6" s="100">
        <v>65.275597560975598</v>
      </c>
      <c r="UM6" s="100">
        <v>65.372268292682904</v>
      </c>
      <c r="UN6" s="100">
        <v>65.468939024390195</v>
      </c>
      <c r="UO6" s="100">
        <v>65.565609756097501</v>
      </c>
      <c r="UP6" s="100">
        <v>65.662280487804907</v>
      </c>
      <c r="UQ6" s="100">
        <v>65.758951219512198</v>
      </c>
      <c r="UR6" s="100">
        <v>65.855621951219504</v>
      </c>
      <c r="US6" s="100">
        <v>65.952292682926796</v>
      </c>
      <c r="UT6" s="100">
        <v>66.048963414634102</v>
      </c>
    </row>
    <row r="7" spans="1:566" x14ac:dyDescent="0.2">
      <c r="A7" s="89">
        <v>0.5</v>
      </c>
      <c r="B7" s="90" t="s">
        <v>290</v>
      </c>
      <c r="C7" s="90">
        <v>11.46</v>
      </c>
      <c r="D7" s="90">
        <v>11.56</v>
      </c>
      <c r="E7" s="90">
        <v>11.65</v>
      </c>
      <c r="F7" s="90">
        <v>11.75</v>
      </c>
      <c r="G7" s="90">
        <v>11.84</v>
      </c>
      <c r="H7" s="90">
        <v>11.94</v>
      </c>
      <c r="I7" s="90">
        <v>12.03</v>
      </c>
      <c r="J7" s="90">
        <v>12.13</v>
      </c>
      <c r="K7" s="90">
        <v>12.22</v>
      </c>
      <c r="L7" s="90">
        <v>12.32</v>
      </c>
      <c r="M7" s="90">
        <v>12.41</v>
      </c>
      <c r="N7" s="90">
        <v>12.51</v>
      </c>
      <c r="O7" s="90">
        <v>12.6</v>
      </c>
      <c r="P7" s="90">
        <v>12.7</v>
      </c>
      <c r="Q7" s="90">
        <v>12.8</v>
      </c>
      <c r="R7" s="90">
        <v>12.89</v>
      </c>
      <c r="S7" s="90">
        <v>12.99</v>
      </c>
      <c r="T7" s="90">
        <v>13.08</v>
      </c>
      <c r="U7" s="91">
        <v>13.18</v>
      </c>
      <c r="V7" s="90">
        <v>13.27</v>
      </c>
      <c r="W7" s="90">
        <v>13.37</v>
      </c>
      <c r="X7" s="90">
        <v>13.46</v>
      </c>
      <c r="Y7" s="90">
        <v>13.56</v>
      </c>
      <c r="Z7" s="90">
        <v>13.65</v>
      </c>
      <c r="AA7" s="90">
        <v>13.75</v>
      </c>
      <c r="AB7" s="90">
        <v>13.84</v>
      </c>
      <c r="AC7" s="90">
        <v>13.94</v>
      </c>
      <c r="AD7" s="90">
        <v>14.03</v>
      </c>
      <c r="AE7" s="90">
        <v>14.13</v>
      </c>
      <c r="AF7" s="90">
        <v>14.23</v>
      </c>
      <c r="AG7" s="90">
        <v>14.32</v>
      </c>
      <c r="AH7" s="90">
        <v>14.42</v>
      </c>
      <c r="AI7" s="90">
        <v>14.51</v>
      </c>
      <c r="AJ7" s="90">
        <v>14.61</v>
      </c>
      <c r="AK7" s="90">
        <v>14.7</v>
      </c>
      <c r="AL7" s="90">
        <v>14.8</v>
      </c>
      <c r="AM7" s="90">
        <v>14.89</v>
      </c>
      <c r="AN7" s="90">
        <v>14.99</v>
      </c>
      <c r="AO7" s="91">
        <v>15.08</v>
      </c>
      <c r="AP7" s="90">
        <v>15.1788461538462</v>
      </c>
      <c r="AQ7" s="90">
        <v>15.274192307692299</v>
      </c>
      <c r="AR7" s="90">
        <v>15.3695384615385</v>
      </c>
      <c r="AS7" s="90">
        <v>15.4648846153846</v>
      </c>
      <c r="AT7" s="90">
        <v>15.560230769230801</v>
      </c>
      <c r="AU7" s="90">
        <v>15.6555769230769</v>
      </c>
      <c r="AV7" s="90">
        <v>15.750923076923099</v>
      </c>
      <c r="AW7" s="90">
        <v>15.846269230769201</v>
      </c>
      <c r="AX7" s="90">
        <v>15.9416153846154</v>
      </c>
      <c r="AY7" s="90">
        <v>16.036961538461501</v>
      </c>
      <c r="AZ7" s="90">
        <v>16.132307692307698</v>
      </c>
      <c r="BA7" s="90">
        <v>16.2276538461538</v>
      </c>
      <c r="BB7" s="90">
        <v>16.323</v>
      </c>
      <c r="BC7" s="90">
        <v>16.418346153846201</v>
      </c>
      <c r="BD7" s="90">
        <v>16.513692307692299</v>
      </c>
      <c r="BE7" s="90">
        <v>16.6090384615385</v>
      </c>
      <c r="BF7" s="90">
        <v>16.704384615384601</v>
      </c>
      <c r="BG7" s="90">
        <v>16.799730769230798</v>
      </c>
      <c r="BH7" s="90">
        <v>16.8950769230769</v>
      </c>
      <c r="BI7" s="91">
        <v>16.990423076923101</v>
      </c>
      <c r="BJ7" s="90">
        <v>17.085769230769198</v>
      </c>
      <c r="BK7" s="99">
        <v>17.181115384615399</v>
      </c>
      <c r="BL7" s="99">
        <v>17.276461538461501</v>
      </c>
      <c r="BM7" s="99">
        <v>17.371807692307701</v>
      </c>
      <c r="BN7" s="99">
        <v>17.467153846153799</v>
      </c>
      <c r="BO7" s="99">
        <v>17.5625</v>
      </c>
      <c r="BP7" s="99">
        <v>17.657846153846201</v>
      </c>
      <c r="BQ7" s="99">
        <v>17.753192307692299</v>
      </c>
      <c r="BR7" s="99">
        <v>17.848538461538499</v>
      </c>
      <c r="BS7" s="99">
        <v>17.943884615384601</v>
      </c>
      <c r="BT7" s="99">
        <v>18.039230769230802</v>
      </c>
      <c r="BU7" s="99">
        <v>18.134576923076899</v>
      </c>
      <c r="BV7" s="99">
        <v>18.2299230769231</v>
      </c>
      <c r="BW7" s="99">
        <v>18.325269230769202</v>
      </c>
      <c r="BX7" s="99">
        <v>18.420615384615399</v>
      </c>
      <c r="BY7" s="99">
        <v>18.5159615384615</v>
      </c>
      <c r="BZ7" s="99">
        <v>18.611307692307701</v>
      </c>
      <c r="CA7" s="99">
        <v>18.706653846153799</v>
      </c>
      <c r="CB7" s="99">
        <v>18.802</v>
      </c>
      <c r="CC7" s="99">
        <v>18.8973461538462</v>
      </c>
      <c r="CD7" s="99">
        <v>18.992692307692302</v>
      </c>
      <c r="CE7" s="99">
        <v>19.088038461538499</v>
      </c>
      <c r="CF7" s="99">
        <v>19.1833846153846</v>
      </c>
      <c r="CG7" s="99">
        <v>19.278730769230801</v>
      </c>
      <c r="CH7" s="99">
        <v>19.374076923076899</v>
      </c>
      <c r="CI7" s="99">
        <v>19.4694230769231</v>
      </c>
      <c r="CJ7" s="99">
        <v>19.564769230769201</v>
      </c>
      <c r="CK7" s="99">
        <v>19.660115384615398</v>
      </c>
      <c r="CL7" s="99">
        <v>19.7554615384615</v>
      </c>
      <c r="CM7" s="99">
        <v>19.850807692307701</v>
      </c>
      <c r="CN7" s="99">
        <v>19.946153846153798</v>
      </c>
      <c r="CO7" s="99">
        <v>20.041499999999999</v>
      </c>
      <c r="CP7" s="99">
        <v>20.1368461538462</v>
      </c>
      <c r="CQ7" s="99">
        <v>20.232192307692301</v>
      </c>
      <c r="CR7" s="99">
        <v>20.327538461538499</v>
      </c>
      <c r="CS7" s="99">
        <v>20.4228846153846</v>
      </c>
      <c r="CT7" s="99">
        <v>20.518230769230801</v>
      </c>
      <c r="CU7" s="99">
        <v>20.613576923076899</v>
      </c>
      <c r="CV7" s="99">
        <v>20.708923076923099</v>
      </c>
      <c r="CW7" s="99">
        <v>20.804269230769201</v>
      </c>
      <c r="CX7" s="99">
        <v>20.899615384615402</v>
      </c>
      <c r="CY7" s="99">
        <v>20.994961538461499</v>
      </c>
      <c r="CZ7" s="99">
        <v>21.0903076923077</v>
      </c>
      <c r="DA7" s="99">
        <v>21.185653846153802</v>
      </c>
      <c r="DB7" s="99">
        <v>21.280999999999999</v>
      </c>
      <c r="DC7" s="99">
        <v>21.3763461538462</v>
      </c>
      <c r="DD7" s="99">
        <v>21.471692307692301</v>
      </c>
      <c r="DE7" s="99">
        <v>21.567038461538498</v>
      </c>
      <c r="DF7" s="99">
        <v>21.6623846153846</v>
      </c>
      <c r="DG7" s="99">
        <v>21.7577307692308</v>
      </c>
      <c r="DH7" s="99">
        <v>21.853076923076902</v>
      </c>
      <c r="DI7" s="99">
        <v>21.948423076923099</v>
      </c>
      <c r="DJ7" s="99">
        <v>22.0437692307692</v>
      </c>
      <c r="DK7" s="99">
        <v>22.139115384615401</v>
      </c>
      <c r="DL7" s="99">
        <v>22.234461538461499</v>
      </c>
      <c r="DM7" s="99">
        <v>22.3298076923077</v>
      </c>
      <c r="DN7" s="99">
        <v>22.425153846153901</v>
      </c>
      <c r="DO7" s="99">
        <v>22.520499999999998</v>
      </c>
      <c r="DP7" s="99">
        <v>22.615846153846199</v>
      </c>
      <c r="DQ7" s="99">
        <v>22.711192307692301</v>
      </c>
      <c r="DR7" s="99">
        <v>22.806538461538501</v>
      </c>
      <c r="DS7" s="99">
        <v>22.901884615384599</v>
      </c>
      <c r="DT7" s="99">
        <v>22.9972307692308</v>
      </c>
      <c r="DU7" s="99">
        <v>23.092576923076901</v>
      </c>
      <c r="DV7" s="99">
        <v>23.187923076923099</v>
      </c>
      <c r="DW7" s="99">
        <v>23.2832692307692</v>
      </c>
      <c r="DX7" s="99">
        <v>23.378615384615401</v>
      </c>
      <c r="DY7" s="99">
        <v>23.473961538461499</v>
      </c>
      <c r="DZ7" s="99">
        <v>23.569307692307699</v>
      </c>
      <c r="EA7" s="99">
        <v>23.6646538461539</v>
      </c>
      <c r="EB7" s="99">
        <v>23.76</v>
      </c>
      <c r="EC7" s="99">
        <v>23.855346153846199</v>
      </c>
      <c r="ED7" s="99">
        <v>23.9506923076923</v>
      </c>
      <c r="EE7" s="99">
        <v>24.046038461538501</v>
      </c>
      <c r="EF7" s="99">
        <v>24.141384615384599</v>
      </c>
      <c r="EG7" s="99">
        <v>24.2367307692308</v>
      </c>
      <c r="EH7" s="99">
        <v>24.332076923076901</v>
      </c>
      <c r="EI7" s="99">
        <v>24.427423076923102</v>
      </c>
      <c r="EJ7" s="99">
        <v>24.5227692307692</v>
      </c>
      <c r="EK7" s="99">
        <v>24.6181153846154</v>
      </c>
      <c r="EL7" s="99">
        <v>24.713461538461502</v>
      </c>
      <c r="EM7" s="99">
        <v>24.808807692307699</v>
      </c>
      <c r="EN7" s="99">
        <v>24.9041538461539</v>
      </c>
      <c r="EO7" s="99">
        <v>24.999500000000001</v>
      </c>
      <c r="EP7" s="99">
        <v>25.094846153846198</v>
      </c>
      <c r="EQ7" s="99">
        <v>25.1901923076923</v>
      </c>
      <c r="ER7" s="99">
        <v>25.285538461538501</v>
      </c>
      <c r="ES7" s="99">
        <v>25.380884615384598</v>
      </c>
      <c r="ET7" s="99">
        <v>25.476230769230799</v>
      </c>
      <c r="EU7" s="99">
        <v>25.571576923076901</v>
      </c>
      <c r="EV7" s="99">
        <v>25.666923076923101</v>
      </c>
      <c r="EW7" s="99">
        <v>25.762269230769199</v>
      </c>
      <c r="EX7" s="99">
        <v>25.8576153846154</v>
      </c>
      <c r="EY7" s="99">
        <v>25.952961538461501</v>
      </c>
      <c r="EZ7" s="99">
        <v>26.048307692307699</v>
      </c>
      <c r="FA7" s="99">
        <v>26.143653846153899</v>
      </c>
      <c r="FB7" s="99">
        <v>26.239000000000001</v>
      </c>
      <c r="FC7" s="99">
        <v>26.334346153846202</v>
      </c>
      <c r="FD7" s="99">
        <v>26.429692307692299</v>
      </c>
      <c r="FE7" s="99">
        <v>26.5250384615385</v>
      </c>
      <c r="FF7" s="99">
        <v>26.620384615384602</v>
      </c>
      <c r="FG7" s="99">
        <v>26.715730769230799</v>
      </c>
      <c r="FH7" s="99">
        <v>26.8110769230769</v>
      </c>
      <c r="FI7" s="99">
        <v>26.906423076923101</v>
      </c>
      <c r="FJ7" s="99">
        <v>27.001769230769199</v>
      </c>
      <c r="FK7" s="99">
        <v>27.0971153846154</v>
      </c>
      <c r="FL7" s="99">
        <v>27.192461538461501</v>
      </c>
      <c r="FM7" s="99">
        <v>27.287807692307702</v>
      </c>
      <c r="FN7" s="99">
        <v>27.383153846153899</v>
      </c>
      <c r="FO7" s="99">
        <v>27.4785</v>
      </c>
      <c r="FP7" s="99">
        <v>27.573846153846201</v>
      </c>
      <c r="FQ7" s="99">
        <v>27.669192307692299</v>
      </c>
      <c r="FR7" s="99">
        <v>27.7645384615385</v>
      </c>
      <c r="FS7" s="99">
        <v>27.859884615384601</v>
      </c>
      <c r="FT7" s="99">
        <v>27.955230769230798</v>
      </c>
      <c r="FU7" s="99">
        <v>28.0505769230769</v>
      </c>
      <c r="FV7" s="99">
        <v>28.145923076923101</v>
      </c>
      <c r="FW7" s="99">
        <v>28.241269230769198</v>
      </c>
      <c r="FX7" s="99">
        <v>28.336615384615399</v>
      </c>
      <c r="FY7" s="99">
        <v>28.431961538461501</v>
      </c>
      <c r="FZ7" s="99">
        <v>28.527307692307701</v>
      </c>
      <c r="GA7" s="99">
        <v>28.622653846153899</v>
      </c>
      <c r="GB7" s="99">
        <v>28.718</v>
      </c>
      <c r="GC7" s="99">
        <v>28.813346153846201</v>
      </c>
      <c r="GD7" s="99">
        <v>28.908692307692299</v>
      </c>
      <c r="GE7" s="99">
        <v>29.004038461538499</v>
      </c>
      <c r="GF7" s="99">
        <v>29.099384615384601</v>
      </c>
      <c r="GG7" s="99">
        <v>29.194730769230802</v>
      </c>
      <c r="GH7" s="99">
        <v>29.290076923076899</v>
      </c>
      <c r="GI7" s="99">
        <v>29.3854230769231</v>
      </c>
      <c r="GJ7" s="99">
        <v>29.480769230769202</v>
      </c>
      <c r="GK7" s="99">
        <v>29.576115384615399</v>
      </c>
      <c r="GL7" s="99">
        <v>29.6714615384615</v>
      </c>
      <c r="GM7" s="99">
        <v>29.766807692307701</v>
      </c>
      <c r="GN7" s="99">
        <v>29.862153846153898</v>
      </c>
      <c r="GO7" s="99">
        <v>29.9575</v>
      </c>
      <c r="GP7" s="99">
        <v>30.0528461538462</v>
      </c>
      <c r="GQ7" s="99">
        <v>30.148192307692302</v>
      </c>
      <c r="GR7" s="99">
        <v>30.243538461538499</v>
      </c>
      <c r="GS7" s="99">
        <v>30.3388846153846</v>
      </c>
      <c r="GT7" s="99">
        <v>30.434230769230801</v>
      </c>
      <c r="GU7" s="99">
        <v>30.529576923076899</v>
      </c>
      <c r="GV7" s="99">
        <v>30.6249230769231</v>
      </c>
      <c r="GW7" s="99">
        <v>30.720269230769201</v>
      </c>
      <c r="GX7" s="99">
        <v>30.815615384615398</v>
      </c>
      <c r="GY7" s="99">
        <v>30.910961538461599</v>
      </c>
      <c r="GZ7" s="99">
        <v>31.006307692307701</v>
      </c>
      <c r="HA7" s="99">
        <v>31.101653846153901</v>
      </c>
      <c r="HB7" s="99">
        <v>31.196999999999999</v>
      </c>
      <c r="HC7" s="99">
        <v>31.2923461538462</v>
      </c>
      <c r="HD7" s="99">
        <v>31.387692307692301</v>
      </c>
      <c r="HE7" s="99">
        <v>31.483038461538499</v>
      </c>
      <c r="HF7" s="99">
        <v>31.5783846153846</v>
      </c>
      <c r="HG7" s="99">
        <v>31.673730769230801</v>
      </c>
      <c r="HH7" s="99">
        <v>31.769076923076899</v>
      </c>
      <c r="HI7" s="99">
        <v>31.864423076923099</v>
      </c>
      <c r="HJ7" s="99">
        <v>31.959769230769201</v>
      </c>
      <c r="HK7" s="99">
        <v>32.055115384615398</v>
      </c>
      <c r="HL7" s="99">
        <v>32.150461538461599</v>
      </c>
      <c r="HM7" s="99">
        <v>32.2458076923077</v>
      </c>
      <c r="HN7" s="99">
        <v>32.341153846153901</v>
      </c>
      <c r="HO7" s="99">
        <v>32.436500000000002</v>
      </c>
      <c r="HP7" s="99">
        <v>32.531846153846203</v>
      </c>
      <c r="HQ7" s="99">
        <v>32.627192307692297</v>
      </c>
      <c r="HR7" s="99">
        <v>32.722538461538498</v>
      </c>
      <c r="HS7" s="99">
        <v>32.8178846153846</v>
      </c>
      <c r="HT7" s="99">
        <v>32.9132307692308</v>
      </c>
      <c r="HU7" s="99">
        <v>33.008576923076902</v>
      </c>
      <c r="HV7" s="99">
        <v>33.103923076923103</v>
      </c>
      <c r="HW7" s="99">
        <v>33.199269230769197</v>
      </c>
      <c r="HX7" s="99">
        <v>33.294615384615398</v>
      </c>
      <c r="HY7" s="99">
        <v>33.389961538461598</v>
      </c>
      <c r="HZ7" s="99">
        <v>33.4853076923077</v>
      </c>
      <c r="IA7" s="99">
        <v>33.580653846153901</v>
      </c>
      <c r="IB7" s="99">
        <v>33.676000000000002</v>
      </c>
      <c r="IC7" s="99">
        <v>33.771346153846203</v>
      </c>
      <c r="ID7" s="99">
        <v>33.866692307692297</v>
      </c>
      <c r="IE7" s="99">
        <v>33.962038461538498</v>
      </c>
      <c r="IF7" s="99">
        <v>34.057384615384599</v>
      </c>
      <c r="IG7" s="99">
        <v>34.1527307692308</v>
      </c>
      <c r="IH7" s="99">
        <v>34.248076923076901</v>
      </c>
      <c r="II7" s="99">
        <v>34.343423076923102</v>
      </c>
      <c r="IJ7" s="99">
        <v>34.438769230769203</v>
      </c>
      <c r="IK7" s="99">
        <v>34.534115384615397</v>
      </c>
      <c r="IL7" s="99">
        <v>34.629461538461499</v>
      </c>
      <c r="IM7" s="99">
        <v>34.724807692307699</v>
      </c>
      <c r="IN7" s="99">
        <v>34.8201538461539</v>
      </c>
      <c r="IO7" s="99">
        <v>34.915500000000002</v>
      </c>
      <c r="IP7" s="99">
        <v>35.010846153846202</v>
      </c>
      <c r="IQ7" s="99">
        <v>35.106192307692297</v>
      </c>
      <c r="IR7" s="99">
        <v>35.201538461538497</v>
      </c>
      <c r="IS7" s="99">
        <v>35.296884615384599</v>
      </c>
      <c r="IT7" s="99">
        <v>35.3922307692308</v>
      </c>
      <c r="IU7" s="99">
        <v>35.487576923076901</v>
      </c>
      <c r="IV7" s="99">
        <v>35.582923076923102</v>
      </c>
      <c r="IW7" s="99">
        <v>35.678269230769203</v>
      </c>
      <c r="IX7" s="99">
        <v>35.773615384615397</v>
      </c>
      <c r="IY7" s="99">
        <v>35.868961538461598</v>
      </c>
      <c r="IZ7" s="99">
        <v>35.964307692307699</v>
      </c>
      <c r="JA7" s="99">
        <v>36.0596538461539</v>
      </c>
      <c r="JB7" s="99">
        <v>36.155000000000001</v>
      </c>
      <c r="JC7" s="99">
        <v>36.250346153846202</v>
      </c>
      <c r="JD7" s="99">
        <v>36.345692307692303</v>
      </c>
      <c r="JE7" s="99">
        <v>36.441038461538497</v>
      </c>
      <c r="JF7" s="99">
        <v>36.536384615384598</v>
      </c>
      <c r="JG7" s="99">
        <v>36.631730769230799</v>
      </c>
      <c r="JH7" s="99">
        <v>36.727076923076901</v>
      </c>
      <c r="JI7" s="99">
        <v>36.822423076923101</v>
      </c>
      <c r="JJ7" s="99">
        <v>36.917769230769203</v>
      </c>
      <c r="JK7" s="99">
        <v>37.013115384615404</v>
      </c>
      <c r="JL7" s="99">
        <v>37.108461538461597</v>
      </c>
      <c r="JM7" s="99">
        <v>37.203807692307699</v>
      </c>
      <c r="JN7" s="99">
        <v>37.299153846153899</v>
      </c>
      <c r="JO7" s="99">
        <v>37.394500000000001</v>
      </c>
      <c r="JP7" s="99">
        <v>37.489846153846202</v>
      </c>
      <c r="JQ7" s="99">
        <v>37.585192307692303</v>
      </c>
      <c r="JR7" s="99">
        <v>37.680538461538497</v>
      </c>
      <c r="JS7" s="99">
        <v>37.775884615384598</v>
      </c>
      <c r="JT7" s="99">
        <v>37.871230769230799</v>
      </c>
      <c r="JU7" s="99">
        <v>37.9665769230769</v>
      </c>
      <c r="JV7" s="99">
        <v>38.061923076923101</v>
      </c>
      <c r="JW7" s="99">
        <v>38.157269230769202</v>
      </c>
      <c r="JX7" s="99">
        <v>38.252615384615403</v>
      </c>
      <c r="JY7" s="99">
        <v>38.347961538461597</v>
      </c>
      <c r="JZ7" s="99">
        <v>38.443307692307698</v>
      </c>
      <c r="KA7" s="99">
        <v>38.538653846153899</v>
      </c>
      <c r="KB7" s="99">
        <v>38.634</v>
      </c>
      <c r="KC7" s="99">
        <v>38.729346153846201</v>
      </c>
      <c r="KD7" s="99">
        <v>38.824692307692303</v>
      </c>
      <c r="KE7" s="99">
        <v>38.920038461538503</v>
      </c>
      <c r="KF7" s="99">
        <v>39.015384615384598</v>
      </c>
      <c r="KG7" s="99">
        <v>39.110730769230798</v>
      </c>
      <c r="KH7" s="99">
        <v>39.2060769230769</v>
      </c>
      <c r="KI7" s="99">
        <v>39.301423076923101</v>
      </c>
      <c r="KJ7" s="99">
        <v>39.396769230769202</v>
      </c>
      <c r="KK7" s="99">
        <v>39.492115384615403</v>
      </c>
      <c r="KL7" s="99">
        <v>39.587461538461604</v>
      </c>
      <c r="KM7" s="99">
        <v>39.682807692307698</v>
      </c>
      <c r="KN7" s="99">
        <v>39.778153846153899</v>
      </c>
      <c r="KO7" s="99">
        <v>39.8735</v>
      </c>
      <c r="KP7" s="99">
        <v>39.968846153846201</v>
      </c>
      <c r="KQ7" s="99">
        <v>40.064192307692302</v>
      </c>
      <c r="KR7" s="99">
        <v>40.159538461538503</v>
      </c>
      <c r="KS7" s="99">
        <v>40.254884615384597</v>
      </c>
      <c r="KT7" s="99">
        <v>40.350230769230798</v>
      </c>
      <c r="KU7" s="99">
        <v>40.445576923076899</v>
      </c>
      <c r="KV7" s="99">
        <v>40.5409230769231</v>
      </c>
      <c r="KW7" s="99">
        <v>40.636269230769201</v>
      </c>
      <c r="KX7" s="99">
        <v>40.731615384615402</v>
      </c>
      <c r="KY7" s="99">
        <v>40.826961538461603</v>
      </c>
      <c r="KZ7" s="99">
        <v>40.922307692307697</v>
      </c>
      <c r="LA7" s="99">
        <v>41.017653846153898</v>
      </c>
      <c r="LB7" s="99">
        <v>41.113</v>
      </c>
      <c r="LC7" s="99">
        <v>41.2083461538462</v>
      </c>
      <c r="LD7" s="99">
        <v>41.303692307692302</v>
      </c>
      <c r="LE7" s="99">
        <v>41.399038461538503</v>
      </c>
      <c r="LF7" s="99">
        <v>41.494384615384597</v>
      </c>
      <c r="LG7" s="99">
        <v>41.589730769230798</v>
      </c>
      <c r="LH7" s="99">
        <v>41.685076923076899</v>
      </c>
      <c r="LI7" s="99">
        <v>41.7804230769231</v>
      </c>
      <c r="LJ7" s="99">
        <v>41.875769230769201</v>
      </c>
      <c r="LK7" s="99">
        <v>41.971115384615402</v>
      </c>
      <c r="LL7" s="99">
        <v>42.066461538461603</v>
      </c>
      <c r="LM7" s="99">
        <v>42.161807692307697</v>
      </c>
      <c r="LN7" s="99">
        <v>42.257153846153898</v>
      </c>
      <c r="LO7" s="99">
        <v>42.352499999999999</v>
      </c>
      <c r="LP7" s="99">
        <v>42.4478461538462</v>
      </c>
      <c r="LQ7" s="99">
        <v>42.543192307692301</v>
      </c>
      <c r="LR7" s="99">
        <v>42.638538461538502</v>
      </c>
      <c r="LS7" s="99">
        <v>42.733884615384603</v>
      </c>
      <c r="LT7" s="99">
        <v>42.829230769230797</v>
      </c>
      <c r="LU7" s="99">
        <v>42.924576923076899</v>
      </c>
      <c r="LV7" s="99">
        <v>43.019923076923099</v>
      </c>
      <c r="LW7" s="99">
        <v>43.115269230769201</v>
      </c>
      <c r="LX7" s="99">
        <v>43.210615384615402</v>
      </c>
      <c r="LY7" s="99">
        <v>43.305961538461602</v>
      </c>
      <c r="LZ7" s="99">
        <v>43.401307692307697</v>
      </c>
      <c r="MA7" s="99">
        <v>43.496653846153897</v>
      </c>
      <c r="MB7" s="99">
        <v>43.591999999999999</v>
      </c>
      <c r="MC7" s="99">
        <v>43.6873461538462</v>
      </c>
      <c r="MD7" s="99">
        <v>43.782692307692301</v>
      </c>
      <c r="ME7" s="99">
        <v>43.878038461538502</v>
      </c>
      <c r="MF7" s="99">
        <v>43.973384615384603</v>
      </c>
      <c r="MG7" s="99">
        <v>44.068730769230797</v>
      </c>
      <c r="MH7" s="99">
        <v>44.164076923076898</v>
      </c>
      <c r="MI7" s="99">
        <v>44.259423076923099</v>
      </c>
      <c r="MJ7" s="99">
        <v>44.3547692307692</v>
      </c>
      <c r="MK7" s="99">
        <v>44.450115384615401</v>
      </c>
      <c r="ML7" s="99">
        <v>44.545461538461602</v>
      </c>
      <c r="MM7" s="99">
        <v>44.640807692307703</v>
      </c>
      <c r="MN7" s="99">
        <v>44.736153846153897</v>
      </c>
      <c r="MO7" s="99">
        <v>44.831499999999998</v>
      </c>
      <c r="MP7" s="99">
        <v>44.926846153846199</v>
      </c>
      <c r="MQ7" s="99">
        <v>45.022192307692301</v>
      </c>
      <c r="MR7" s="99">
        <v>45.117538461538501</v>
      </c>
      <c r="MS7" s="99">
        <v>45.212884615384603</v>
      </c>
      <c r="MT7" s="99">
        <v>45.308230769230804</v>
      </c>
      <c r="MU7" s="99">
        <v>45.403576923076898</v>
      </c>
      <c r="MV7" s="99">
        <v>45.498923076923099</v>
      </c>
      <c r="MW7" s="99">
        <v>45.5942692307692</v>
      </c>
      <c r="MX7" s="99">
        <v>45.689615384615401</v>
      </c>
      <c r="MY7" s="99">
        <v>45.784961538461602</v>
      </c>
      <c r="MZ7" s="99">
        <v>45.880307692307703</v>
      </c>
      <c r="NA7" s="99">
        <v>45.975653846153897</v>
      </c>
      <c r="NB7" s="99">
        <v>46.070999999999998</v>
      </c>
      <c r="NC7" s="99">
        <v>46.166346153846199</v>
      </c>
      <c r="ND7" s="99">
        <v>46.2616923076923</v>
      </c>
      <c r="NE7" s="99">
        <v>46.357038461538501</v>
      </c>
      <c r="NF7" s="99">
        <v>46.452384615384602</v>
      </c>
      <c r="NG7" s="99">
        <v>46.547730769230803</v>
      </c>
      <c r="NH7" s="99">
        <v>46.643076923076897</v>
      </c>
      <c r="NI7" s="99">
        <v>46.738423076923098</v>
      </c>
      <c r="NJ7" s="99">
        <v>46.8337692307692</v>
      </c>
      <c r="NK7" s="99">
        <v>46.9291153846154</v>
      </c>
      <c r="NL7" s="99">
        <v>47.024461538461601</v>
      </c>
      <c r="NM7" s="99">
        <v>47.119807692307702</v>
      </c>
      <c r="NN7" s="99">
        <v>47.215153846153903</v>
      </c>
      <c r="NO7" s="99">
        <v>47.310499999999998</v>
      </c>
      <c r="NP7" s="99">
        <v>47.405846153846198</v>
      </c>
      <c r="NQ7" s="99">
        <v>47.5011923076923</v>
      </c>
      <c r="NR7" s="99">
        <v>47.596538461538501</v>
      </c>
      <c r="NS7" s="99">
        <v>47.691884615384602</v>
      </c>
      <c r="NT7" s="99">
        <v>47.787230769230803</v>
      </c>
      <c r="NU7" s="99">
        <v>47.882576923076897</v>
      </c>
      <c r="NV7" s="99">
        <v>47.977923076923098</v>
      </c>
      <c r="NW7" s="99">
        <v>48.073269230769299</v>
      </c>
      <c r="NX7" s="99">
        <v>48.1686153846154</v>
      </c>
      <c r="NY7" s="99">
        <v>48.263961538461601</v>
      </c>
      <c r="NZ7" s="99">
        <v>48.359307692307702</v>
      </c>
      <c r="OA7" s="99">
        <v>48.454653846153903</v>
      </c>
      <c r="OB7" s="99">
        <v>48.55</v>
      </c>
      <c r="OC7" s="99">
        <v>48.645346153846198</v>
      </c>
      <c r="OD7" s="99">
        <v>48.740692307692299</v>
      </c>
      <c r="OE7" s="99">
        <v>48.8360384615385</v>
      </c>
      <c r="OF7" s="99">
        <v>48.931384615384601</v>
      </c>
      <c r="OG7" s="99">
        <v>49.026730769230802</v>
      </c>
      <c r="OH7" s="99">
        <v>49.122076923076897</v>
      </c>
      <c r="OI7" s="99">
        <v>49.217423076923097</v>
      </c>
      <c r="OJ7" s="99">
        <v>49.312769230769298</v>
      </c>
      <c r="OK7" s="99">
        <v>49.4081153846154</v>
      </c>
      <c r="OL7" s="99">
        <v>49.5034615384616</v>
      </c>
      <c r="OM7" s="99">
        <v>49.598807692307702</v>
      </c>
      <c r="ON7" s="99">
        <v>49.694153846153903</v>
      </c>
      <c r="OO7" s="99">
        <v>49.789499999999997</v>
      </c>
      <c r="OP7" s="99">
        <v>49.884846153846198</v>
      </c>
      <c r="OQ7" s="99">
        <v>49.980192307692299</v>
      </c>
      <c r="OR7" s="99">
        <v>50.0755384615385</v>
      </c>
      <c r="OS7" s="99">
        <v>50.170884615384601</v>
      </c>
      <c r="OT7" s="99">
        <v>50.266230769230802</v>
      </c>
      <c r="OU7" s="99">
        <v>50.361576923076903</v>
      </c>
      <c r="OV7" s="99">
        <v>50.456923076923097</v>
      </c>
      <c r="OW7" s="99">
        <v>50.552269230769298</v>
      </c>
      <c r="OX7" s="99">
        <v>50.647615384615399</v>
      </c>
      <c r="OY7" s="99">
        <v>50.7429615384616</v>
      </c>
      <c r="OZ7" s="99">
        <v>50.838307692307701</v>
      </c>
      <c r="PA7" s="99">
        <v>50.933653846153902</v>
      </c>
      <c r="PB7" s="99">
        <v>51.029000000000003</v>
      </c>
      <c r="PC7" s="99">
        <v>51.124346153846197</v>
      </c>
      <c r="PD7" s="99">
        <v>51.219692307692299</v>
      </c>
      <c r="PE7" s="99">
        <v>51.315038461538499</v>
      </c>
      <c r="PF7" s="99">
        <v>51.410384615384601</v>
      </c>
      <c r="PG7" s="99">
        <v>51.505730769230802</v>
      </c>
      <c r="PH7" s="99">
        <v>51.601076923076903</v>
      </c>
      <c r="PI7" s="99">
        <v>51.696423076923097</v>
      </c>
      <c r="PJ7" s="99">
        <v>51.791769230769297</v>
      </c>
      <c r="PK7" s="99">
        <v>51.887115384615399</v>
      </c>
      <c r="PL7" s="99">
        <v>51.9824615384616</v>
      </c>
      <c r="PM7" s="99">
        <v>52.077807692307701</v>
      </c>
      <c r="PN7" s="99">
        <v>52.173153846153902</v>
      </c>
      <c r="PO7" s="99">
        <v>52.268500000000003</v>
      </c>
      <c r="PP7" s="99">
        <v>52.363846153846197</v>
      </c>
      <c r="PQ7" s="99">
        <v>52.459192307692298</v>
      </c>
      <c r="PR7" s="99">
        <v>52.554538461538499</v>
      </c>
      <c r="PS7" s="99">
        <v>52.6498846153846</v>
      </c>
      <c r="PT7" s="99">
        <v>52.745230769230801</v>
      </c>
      <c r="PU7" s="99">
        <v>52.840576923076902</v>
      </c>
      <c r="PV7" s="99">
        <v>52.935923076923103</v>
      </c>
      <c r="PW7" s="99">
        <v>53.031269230769297</v>
      </c>
      <c r="PX7" s="99">
        <v>53.126615384615398</v>
      </c>
      <c r="PY7" s="99">
        <v>53.221961538461599</v>
      </c>
      <c r="PZ7" s="99">
        <v>53.317307692307701</v>
      </c>
      <c r="QA7" s="99">
        <v>53.412653846153901</v>
      </c>
      <c r="QB7" s="99">
        <v>53.508000000000003</v>
      </c>
      <c r="QC7" s="99">
        <v>53.603346153846203</v>
      </c>
      <c r="QD7" s="99">
        <v>53.698692307692298</v>
      </c>
      <c r="QE7" s="99">
        <v>53.794038461538499</v>
      </c>
      <c r="QF7" s="99">
        <v>53.8893846153846</v>
      </c>
      <c r="QG7" s="99">
        <v>53.984730769230801</v>
      </c>
      <c r="QH7" s="99">
        <v>54.080076923076902</v>
      </c>
      <c r="QI7" s="99">
        <v>54.175423076923103</v>
      </c>
      <c r="QJ7" s="99">
        <v>54.270769230769297</v>
      </c>
      <c r="QK7" s="99">
        <v>54.366115384615398</v>
      </c>
      <c r="QL7" s="99">
        <v>54.461461538461599</v>
      </c>
      <c r="QM7" s="99">
        <v>54.5568076923077</v>
      </c>
      <c r="QN7" s="99">
        <v>54.652153846153901</v>
      </c>
      <c r="QO7" s="99">
        <v>54.747500000000002</v>
      </c>
      <c r="QP7" s="99">
        <v>54.842846153846203</v>
      </c>
      <c r="QQ7" s="99">
        <v>54.938192307692297</v>
      </c>
      <c r="QR7" s="99">
        <v>55.033538461538498</v>
      </c>
      <c r="QS7" s="99">
        <v>55.128884615384599</v>
      </c>
      <c r="QT7" s="99">
        <v>55.2242307692308</v>
      </c>
      <c r="QU7" s="99">
        <v>55.319576923076902</v>
      </c>
      <c r="QV7" s="99">
        <v>55.414923076923102</v>
      </c>
      <c r="QW7" s="99">
        <v>55.510269230769303</v>
      </c>
      <c r="QX7" s="99">
        <v>55.605615384615398</v>
      </c>
      <c r="QY7" s="99">
        <v>55.700961538461598</v>
      </c>
      <c r="QZ7" s="99">
        <v>55.7963076923077</v>
      </c>
      <c r="RA7" s="99">
        <v>55.891653846153901</v>
      </c>
      <c r="RB7" s="99">
        <v>55.987000000000002</v>
      </c>
      <c r="RC7" s="99">
        <v>56.082346153846203</v>
      </c>
      <c r="RD7" s="99">
        <v>56.177692307692297</v>
      </c>
      <c r="RE7" s="99">
        <v>56.273038461538498</v>
      </c>
      <c r="RF7" s="99">
        <v>56.368384615384599</v>
      </c>
      <c r="RG7" s="99">
        <v>56.4637307692308</v>
      </c>
      <c r="RH7" s="99">
        <v>56.559076923076901</v>
      </c>
      <c r="RI7" s="99">
        <v>56.654423076923102</v>
      </c>
      <c r="RJ7" s="99">
        <v>56.749769230769303</v>
      </c>
      <c r="RK7" s="99">
        <v>56.845115384615397</v>
      </c>
      <c r="RL7" s="99">
        <v>56.940461538461598</v>
      </c>
      <c r="RM7" s="99">
        <v>57.035807692307699</v>
      </c>
      <c r="RN7" s="99">
        <v>57.1311538461539</v>
      </c>
      <c r="RO7" s="99">
        <v>57.226500000000001</v>
      </c>
      <c r="RP7" s="99">
        <v>57.321846153846202</v>
      </c>
      <c r="RQ7" s="99">
        <v>57.417192307692297</v>
      </c>
      <c r="RR7" s="99">
        <v>57.512538461538497</v>
      </c>
      <c r="RS7" s="99">
        <v>57.607884615384599</v>
      </c>
      <c r="RT7" s="99">
        <v>57.7032307692308</v>
      </c>
      <c r="RU7" s="99">
        <v>57.798576923076901</v>
      </c>
      <c r="RV7" s="99">
        <v>57.893923076923102</v>
      </c>
      <c r="RW7" s="99">
        <v>57.989269230769303</v>
      </c>
      <c r="RX7" s="99">
        <v>58.084615384615397</v>
      </c>
      <c r="RY7" s="99">
        <v>58.179961538461598</v>
      </c>
      <c r="RZ7" s="99">
        <v>58.275307692307699</v>
      </c>
      <c r="SA7" s="99">
        <v>58.3706538461539</v>
      </c>
      <c r="SB7" s="99">
        <v>58.466000000000001</v>
      </c>
      <c r="SC7" s="99">
        <v>58.561346153846202</v>
      </c>
      <c r="SD7" s="99">
        <v>58.656692307692303</v>
      </c>
      <c r="SE7" s="99">
        <v>58.752038461538497</v>
      </c>
      <c r="SF7" s="99">
        <v>58.847384615384598</v>
      </c>
      <c r="SG7" s="99">
        <v>58.942730769230799</v>
      </c>
      <c r="SH7" s="99">
        <v>59.0380769230769</v>
      </c>
      <c r="SI7" s="99">
        <v>59.133423076923101</v>
      </c>
      <c r="SJ7" s="99">
        <v>59.228769230769302</v>
      </c>
      <c r="SK7" s="99">
        <v>59.324115384615403</v>
      </c>
      <c r="SL7" s="99">
        <v>59.419461538461597</v>
      </c>
      <c r="SM7" s="99">
        <v>59.514807692307699</v>
      </c>
      <c r="SN7" s="99">
        <v>59.610153846153899</v>
      </c>
      <c r="SO7" s="99">
        <v>59.705500000000001</v>
      </c>
      <c r="SP7" s="99">
        <v>59.800846153846202</v>
      </c>
      <c r="SQ7" s="99">
        <v>59.896192307692303</v>
      </c>
      <c r="SR7" s="99">
        <v>59.991538461538497</v>
      </c>
      <c r="SS7" s="99">
        <v>60.086884615384598</v>
      </c>
      <c r="ST7" s="99">
        <v>60.182230769230799</v>
      </c>
      <c r="SU7" s="99">
        <v>60.2775769230769</v>
      </c>
      <c r="SV7" s="99">
        <v>60.372923076923101</v>
      </c>
      <c r="SW7" s="99">
        <v>60.468269230769302</v>
      </c>
      <c r="SX7" s="99">
        <v>60.563615384615403</v>
      </c>
      <c r="SY7" s="99">
        <v>60.658961538461597</v>
      </c>
      <c r="SZ7" s="99">
        <v>60.754307692307698</v>
      </c>
      <c r="TA7" s="99">
        <v>60.849653846153899</v>
      </c>
      <c r="TB7" s="99">
        <v>60.945</v>
      </c>
      <c r="TC7" s="99">
        <v>61.040346153846201</v>
      </c>
      <c r="TD7" s="99">
        <v>61.135692307692302</v>
      </c>
      <c r="TE7" s="99">
        <v>61.231038461538503</v>
      </c>
      <c r="TF7" s="99">
        <v>61.326384615384598</v>
      </c>
      <c r="TG7" s="99">
        <v>61.421730769230798</v>
      </c>
      <c r="TH7" s="99">
        <v>61.517076923076999</v>
      </c>
      <c r="TI7" s="99">
        <v>61.6124230769231</v>
      </c>
      <c r="TJ7" s="99">
        <v>61.707769230769301</v>
      </c>
      <c r="TK7" s="99">
        <v>61.803115384615403</v>
      </c>
      <c r="TL7" s="99">
        <v>61.898461538461603</v>
      </c>
      <c r="TM7" s="99">
        <v>61.993807692307698</v>
      </c>
      <c r="TN7" s="99">
        <v>62.089153846153899</v>
      </c>
      <c r="TO7" s="99">
        <v>62.1845</v>
      </c>
      <c r="TP7" s="99">
        <v>62.279846153846201</v>
      </c>
      <c r="TQ7" s="99">
        <v>62.375192307692302</v>
      </c>
      <c r="TR7" s="99">
        <v>62.470538461538503</v>
      </c>
      <c r="TS7" s="99">
        <v>62.565884615384597</v>
      </c>
      <c r="TT7" s="99">
        <v>62.661230769230798</v>
      </c>
      <c r="TU7" s="99">
        <v>62.756576923076999</v>
      </c>
      <c r="TV7" s="99">
        <v>62.8519230769231</v>
      </c>
      <c r="TW7" s="99">
        <v>62.947269230769301</v>
      </c>
      <c r="TX7" s="99">
        <v>63.042615384615402</v>
      </c>
      <c r="TY7" s="99">
        <v>63.137961538461603</v>
      </c>
      <c r="TZ7" s="99">
        <v>63.233307692307697</v>
      </c>
      <c r="UA7" s="99">
        <v>63.328653846153898</v>
      </c>
      <c r="UB7" s="99">
        <v>63.423999999999999</v>
      </c>
      <c r="UC7" s="99">
        <v>63.5193461538462</v>
      </c>
      <c r="UD7" s="99">
        <v>63.614692307692302</v>
      </c>
      <c r="UE7" s="99">
        <v>63.710038461538502</v>
      </c>
      <c r="UF7" s="99">
        <v>63.805384615384597</v>
      </c>
      <c r="UG7" s="99">
        <v>63.900730769230798</v>
      </c>
      <c r="UH7" s="99">
        <v>63.996076923076998</v>
      </c>
      <c r="UI7" s="99">
        <v>64.091423076923107</v>
      </c>
      <c r="UJ7" s="99">
        <v>64.186769230769301</v>
      </c>
      <c r="UK7" s="99">
        <v>64.282115384615395</v>
      </c>
      <c r="UL7" s="99">
        <v>64.377461538461603</v>
      </c>
      <c r="UM7" s="99">
        <v>64.472807692307697</v>
      </c>
      <c r="UN7" s="99">
        <v>64.568153846153905</v>
      </c>
      <c r="UO7" s="99">
        <v>64.663499999999999</v>
      </c>
      <c r="UP7" s="99">
        <v>64.758846153846207</v>
      </c>
      <c r="UQ7" s="99">
        <v>64.854192307692301</v>
      </c>
      <c r="UR7" s="99">
        <v>64.949538461538495</v>
      </c>
      <c r="US7" s="99">
        <v>65.044884615384703</v>
      </c>
      <c r="UT7" s="99">
        <v>65.140230769230897</v>
      </c>
    </row>
    <row r="8" spans="1:566" x14ac:dyDescent="0.2">
      <c r="A8" s="89">
        <v>1</v>
      </c>
      <c r="B8" s="90">
        <v>11.21</v>
      </c>
      <c r="C8" s="90">
        <v>11.3</v>
      </c>
      <c r="D8" s="90">
        <v>11.39</v>
      </c>
      <c r="E8" s="90">
        <v>11.49</v>
      </c>
      <c r="F8" s="90">
        <v>11.58</v>
      </c>
      <c r="G8" s="90">
        <v>11.68</v>
      </c>
      <c r="H8" s="90">
        <v>11.77</v>
      </c>
      <c r="I8" s="90">
        <v>11.86</v>
      </c>
      <c r="J8" s="90">
        <v>11.96</v>
      </c>
      <c r="K8" s="90">
        <v>12.05</v>
      </c>
      <c r="L8" s="90">
        <v>12.15</v>
      </c>
      <c r="M8" s="90">
        <v>12.24</v>
      </c>
      <c r="N8" s="90">
        <v>12.34</v>
      </c>
      <c r="O8" s="90">
        <v>12.43</v>
      </c>
      <c r="P8" s="90">
        <v>12.52</v>
      </c>
      <c r="Q8" s="90">
        <v>12.62</v>
      </c>
      <c r="R8" s="90">
        <v>12.71</v>
      </c>
      <c r="S8" s="90">
        <v>12.81</v>
      </c>
      <c r="T8" s="90">
        <v>12.9</v>
      </c>
      <c r="U8" s="91">
        <v>12.99</v>
      </c>
      <c r="V8" s="90">
        <v>13.09</v>
      </c>
      <c r="W8" s="90">
        <v>13.18</v>
      </c>
      <c r="X8" s="90">
        <v>13.28</v>
      </c>
      <c r="Y8" s="90">
        <v>13.37</v>
      </c>
      <c r="Z8" s="90">
        <v>13.46</v>
      </c>
      <c r="AA8" s="90">
        <v>13.56</v>
      </c>
      <c r="AB8" s="90">
        <v>13.65</v>
      </c>
      <c r="AC8" s="90">
        <v>13.75</v>
      </c>
      <c r="AD8" s="90">
        <v>13.84</v>
      </c>
      <c r="AE8" s="90">
        <v>13.93</v>
      </c>
      <c r="AF8" s="90">
        <v>14.03</v>
      </c>
      <c r="AG8" s="90">
        <v>14.12</v>
      </c>
      <c r="AH8" s="90">
        <v>14.22</v>
      </c>
      <c r="AI8" s="90">
        <v>14.31</v>
      </c>
      <c r="AJ8" s="90">
        <v>14.4</v>
      </c>
      <c r="AK8" s="90">
        <v>14.5</v>
      </c>
      <c r="AL8" s="90">
        <v>14.59</v>
      </c>
      <c r="AM8" s="90">
        <v>14.69</v>
      </c>
      <c r="AN8" s="90">
        <v>14.78</v>
      </c>
      <c r="AO8" s="91">
        <v>14.87</v>
      </c>
      <c r="AP8" s="90">
        <v>14.968346153846101</v>
      </c>
      <c r="AQ8" s="90">
        <v>15.062387429643501</v>
      </c>
      <c r="AR8" s="90">
        <v>15.1564287054409</v>
      </c>
      <c r="AS8" s="90">
        <v>15.2504699812383</v>
      </c>
      <c r="AT8" s="90">
        <v>15.344511257035601</v>
      </c>
      <c r="AU8" s="90">
        <v>15.438552532833</v>
      </c>
      <c r="AV8" s="90">
        <v>15.5325938086304</v>
      </c>
      <c r="AW8" s="90">
        <v>15.6266350844278</v>
      </c>
      <c r="AX8" s="90">
        <v>15.720676360225101</v>
      </c>
      <c r="AY8" s="90">
        <v>15.8147176360225</v>
      </c>
      <c r="AZ8" s="90">
        <v>15.9087589118199</v>
      </c>
      <c r="BA8" s="90">
        <v>16.0028001876173</v>
      </c>
      <c r="BB8" s="90">
        <v>16.096841463414599</v>
      </c>
      <c r="BC8" s="90">
        <v>16.190882739212</v>
      </c>
      <c r="BD8" s="90">
        <v>16.284924015009398</v>
      </c>
      <c r="BE8" s="90">
        <v>16.3789652908067</v>
      </c>
      <c r="BF8" s="90">
        <v>16.473006566604099</v>
      </c>
      <c r="BG8" s="90">
        <v>16.5670478424015</v>
      </c>
      <c r="BH8" s="90">
        <v>16.661089118198898</v>
      </c>
      <c r="BI8" s="91">
        <v>16.7551303939962</v>
      </c>
      <c r="BJ8" s="90">
        <v>16.849171669793598</v>
      </c>
      <c r="BK8" s="99">
        <v>16.943212945591</v>
      </c>
      <c r="BL8" s="99">
        <v>17.037254221388402</v>
      </c>
      <c r="BM8" s="99">
        <v>17.1312954971857</v>
      </c>
      <c r="BN8" s="99">
        <v>17.225336772983098</v>
      </c>
      <c r="BO8" s="99">
        <v>17.3193780487805</v>
      </c>
      <c r="BP8" s="99">
        <v>17.413419324577902</v>
      </c>
      <c r="BQ8" s="99">
        <v>17.5074606003752</v>
      </c>
      <c r="BR8" s="99">
        <v>17.601501876172598</v>
      </c>
      <c r="BS8" s="99">
        <v>17.69554315197</v>
      </c>
      <c r="BT8" s="99">
        <v>17.789584427767299</v>
      </c>
      <c r="BU8" s="99">
        <v>17.8836257035647</v>
      </c>
      <c r="BV8" s="99">
        <v>17.977666979362098</v>
      </c>
      <c r="BW8" s="99">
        <v>18.0717082551595</v>
      </c>
      <c r="BX8" s="99">
        <v>18.165749530956798</v>
      </c>
      <c r="BY8" s="99">
        <v>18.2597908067542</v>
      </c>
      <c r="BZ8" s="99">
        <v>18.353832082551602</v>
      </c>
      <c r="CA8" s="99">
        <v>18.447873358349</v>
      </c>
      <c r="CB8" s="99">
        <v>18.541914634146298</v>
      </c>
      <c r="CC8" s="99">
        <v>18.6359559099437</v>
      </c>
      <c r="CD8" s="99">
        <v>18.729997185741102</v>
      </c>
      <c r="CE8" s="99">
        <v>18.8240384615385</v>
      </c>
      <c r="CF8" s="99">
        <v>18.918079737335798</v>
      </c>
      <c r="CG8" s="99">
        <v>19.0121210131332</v>
      </c>
      <c r="CH8" s="99">
        <v>19.106162288930602</v>
      </c>
      <c r="CI8" s="99">
        <v>19.200203564728</v>
      </c>
      <c r="CJ8" s="99">
        <v>19.294244840525302</v>
      </c>
      <c r="CK8" s="99">
        <v>19.3882861163227</v>
      </c>
      <c r="CL8" s="99">
        <v>19.482327392120101</v>
      </c>
      <c r="CM8" s="99">
        <v>19.5763686679174</v>
      </c>
      <c r="CN8" s="99">
        <v>19.670409943714802</v>
      </c>
      <c r="CO8" s="99">
        <v>19.7644512195122</v>
      </c>
      <c r="CP8" s="99">
        <v>19.858492495309601</v>
      </c>
      <c r="CQ8" s="99">
        <v>19.9525337711069</v>
      </c>
      <c r="CR8" s="99">
        <v>20.046575046904302</v>
      </c>
      <c r="CS8" s="99">
        <v>20.1406163227017</v>
      </c>
      <c r="CT8" s="99">
        <v>20.234657598499101</v>
      </c>
      <c r="CU8" s="99">
        <v>20.3286988742964</v>
      </c>
      <c r="CV8" s="99">
        <v>20.422740150093802</v>
      </c>
      <c r="CW8" s="99">
        <v>20.5167814258912</v>
      </c>
      <c r="CX8" s="99">
        <v>20.610822701688601</v>
      </c>
      <c r="CY8" s="99">
        <v>20.7048639774859</v>
      </c>
      <c r="CZ8" s="99">
        <v>20.798905253283301</v>
      </c>
      <c r="DA8" s="99">
        <v>20.892946529080699</v>
      </c>
      <c r="DB8" s="99">
        <v>20.986987804878002</v>
      </c>
      <c r="DC8" s="99">
        <v>21.0810290806754</v>
      </c>
      <c r="DD8" s="99">
        <v>21.175070356472801</v>
      </c>
      <c r="DE8" s="99">
        <v>21.2691116322701</v>
      </c>
      <c r="DF8" s="99">
        <v>21.363152908067502</v>
      </c>
      <c r="DG8" s="99">
        <v>21.4571941838649</v>
      </c>
      <c r="DH8" s="99">
        <v>21.551235459662301</v>
      </c>
      <c r="DI8" s="99">
        <v>21.6452767354596</v>
      </c>
      <c r="DJ8" s="99">
        <v>21.739318011257001</v>
      </c>
      <c r="DK8" s="99">
        <v>21.8333592870544</v>
      </c>
      <c r="DL8" s="99">
        <v>21.927400562851801</v>
      </c>
      <c r="DM8" s="99">
        <v>22.0214418386491</v>
      </c>
      <c r="DN8" s="99">
        <v>22.115483114446501</v>
      </c>
      <c r="DO8" s="99">
        <v>22.209524390243899</v>
      </c>
      <c r="DP8" s="99">
        <v>22.303565666041301</v>
      </c>
      <c r="DQ8" s="99">
        <v>22.3976069418386</v>
      </c>
      <c r="DR8" s="99">
        <v>22.491648217636001</v>
      </c>
      <c r="DS8" s="99">
        <v>22.585689493433399</v>
      </c>
      <c r="DT8" s="99">
        <v>22.679730769230702</v>
      </c>
      <c r="DU8" s="99">
        <v>22.7737720450281</v>
      </c>
      <c r="DV8" s="99">
        <v>22.867813320825501</v>
      </c>
      <c r="DW8" s="99">
        <v>22.961854596622899</v>
      </c>
      <c r="DX8" s="99">
        <v>23.055895872420201</v>
      </c>
      <c r="DY8" s="99">
        <v>23.1499371482176</v>
      </c>
      <c r="DZ8" s="99">
        <v>23.243978424015001</v>
      </c>
      <c r="EA8" s="99">
        <v>23.338019699812399</v>
      </c>
      <c r="EB8" s="99">
        <v>23.432060975609701</v>
      </c>
      <c r="EC8" s="99">
        <v>23.526102251407099</v>
      </c>
      <c r="ED8" s="99">
        <v>23.620143527204501</v>
      </c>
      <c r="EE8" s="99">
        <v>23.714184803001899</v>
      </c>
      <c r="EF8" s="99">
        <v>23.808226078799201</v>
      </c>
      <c r="EG8" s="99">
        <v>23.902267354596599</v>
      </c>
      <c r="EH8" s="99">
        <v>23.996308630394001</v>
      </c>
      <c r="EI8" s="99">
        <v>24.090349906191399</v>
      </c>
      <c r="EJ8" s="99">
        <v>24.184391181988701</v>
      </c>
      <c r="EK8" s="99">
        <v>24.278432457786099</v>
      </c>
      <c r="EL8" s="99">
        <v>24.372473733583501</v>
      </c>
      <c r="EM8" s="99">
        <v>24.466515009380799</v>
      </c>
      <c r="EN8" s="99">
        <v>24.560556285178201</v>
      </c>
      <c r="EO8" s="99">
        <v>24.654597560975599</v>
      </c>
      <c r="EP8" s="99">
        <v>24.748638836773001</v>
      </c>
      <c r="EQ8" s="99">
        <v>24.842680112570299</v>
      </c>
      <c r="ER8" s="99">
        <v>24.936721388367701</v>
      </c>
      <c r="ES8" s="99">
        <v>25.030762664165099</v>
      </c>
      <c r="ET8" s="99">
        <v>25.124803939962501</v>
      </c>
      <c r="EU8" s="99">
        <v>25.218845215759799</v>
      </c>
      <c r="EV8" s="99">
        <v>25.312886491557201</v>
      </c>
      <c r="EW8" s="99">
        <v>25.406927767354599</v>
      </c>
      <c r="EX8" s="99">
        <v>25.500969043151901</v>
      </c>
      <c r="EY8" s="99">
        <v>25.595010318949299</v>
      </c>
      <c r="EZ8" s="99">
        <v>25.689051594746701</v>
      </c>
      <c r="FA8" s="99">
        <v>25.783092870544099</v>
      </c>
      <c r="FB8" s="99">
        <v>25.877134146341401</v>
      </c>
      <c r="FC8" s="99">
        <v>25.971175422138799</v>
      </c>
      <c r="FD8" s="99">
        <v>26.065216697936201</v>
      </c>
      <c r="FE8" s="99">
        <v>26.159257973733599</v>
      </c>
      <c r="FF8" s="99">
        <v>26.253299249530901</v>
      </c>
      <c r="FG8" s="99">
        <v>26.347340525328299</v>
      </c>
      <c r="FH8" s="99">
        <v>26.441381801125701</v>
      </c>
      <c r="FI8" s="99">
        <v>26.535423076923099</v>
      </c>
      <c r="FJ8" s="99">
        <v>26.629464352720401</v>
      </c>
      <c r="FK8" s="99">
        <v>26.723505628517799</v>
      </c>
      <c r="FL8" s="99">
        <v>26.817546904315201</v>
      </c>
      <c r="FM8" s="99">
        <v>26.911588180112499</v>
      </c>
      <c r="FN8" s="99">
        <v>27.005629455909901</v>
      </c>
      <c r="FO8" s="99">
        <v>27.099670731707299</v>
      </c>
      <c r="FP8" s="99">
        <v>27.193712007504701</v>
      </c>
      <c r="FQ8" s="99">
        <v>27.287753283301999</v>
      </c>
      <c r="FR8" s="99">
        <v>27.381794559099401</v>
      </c>
      <c r="FS8" s="99">
        <v>27.475835834896799</v>
      </c>
      <c r="FT8" s="99">
        <v>27.5698771106942</v>
      </c>
      <c r="FU8" s="99">
        <v>27.663918386491499</v>
      </c>
      <c r="FV8" s="99">
        <v>27.757959662288901</v>
      </c>
      <c r="FW8" s="99">
        <v>27.852000938086299</v>
      </c>
      <c r="FX8" s="99">
        <v>27.9460422138837</v>
      </c>
      <c r="FY8" s="99">
        <v>28.040083489680999</v>
      </c>
      <c r="FZ8" s="99">
        <v>28.134124765478401</v>
      </c>
      <c r="GA8" s="99">
        <v>28.228166041275799</v>
      </c>
      <c r="GB8" s="99">
        <v>28.3222073170732</v>
      </c>
      <c r="GC8" s="99">
        <v>28.416248592870499</v>
      </c>
      <c r="GD8" s="99">
        <v>28.5102898686679</v>
      </c>
      <c r="GE8" s="99">
        <v>28.604331144465299</v>
      </c>
      <c r="GF8" s="99">
        <v>28.698372420262601</v>
      </c>
      <c r="GG8" s="99">
        <v>28.792413696059999</v>
      </c>
      <c r="GH8" s="99">
        <v>28.8864549718574</v>
      </c>
      <c r="GI8" s="99">
        <v>28.980496247654798</v>
      </c>
      <c r="GJ8" s="99">
        <v>29.074537523452101</v>
      </c>
      <c r="GK8" s="99">
        <v>29.168578799249499</v>
      </c>
      <c r="GL8" s="99">
        <v>29.2626200750469</v>
      </c>
      <c r="GM8" s="99">
        <v>29.356661350844298</v>
      </c>
      <c r="GN8" s="99">
        <v>29.450702626641601</v>
      </c>
      <c r="GO8" s="99">
        <v>29.544743902438999</v>
      </c>
      <c r="GP8" s="99">
        <v>29.6387851782364</v>
      </c>
      <c r="GQ8" s="99">
        <v>29.732826454033699</v>
      </c>
      <c r="GR8" s="99">
        <v>29.8268677298311</v>
      </c>
      <c r="GS8" s="99">
        <v>29.920909005628499</v>
      </c>
      <c r="GT8" s="99">
        <v>30.0149502814259</v>
      </c>
      <c r="GU8" s="99">
        <v>30.108991557223199</v>
      </c>
      <c r="GV8" s="99">
        <v>30.2030328330206</v>
      </c>
      <c r="GW8" s="99">
        <v>30.297074108817998</v>
      </c>
      <c r="GX8" s="99">
        <v>30.3911153846154</v>
      </c>
      <c r="GY8" s="99">
        <v>30.485156660412699</v>
      </c>
      <c r="GZ8" s="99">
        <v>30.5791979362101</v>
      </c>
      <c r="HA8" s="99">
        <v>30.673239212007498</v>
      </c>
      <c r="HB8" s="99">
        <v>30.7672804878049</v>
      </c>
      <c r="HC8" s="99">
        <v>30.861321763602199</v>
      </c>
      <c r="HD8" s="99">
        <v>30.9553630393996</v>
      </c>
      <c r="HE8" s="99">
        <v>31.049404315196998</v>
      </c>
      <c r="HF8" s="99">
        <v>31.1434455909944</v>
      </c>
      <c r="HG8" s="99">
        <v>31.237486866791699</v>
      </c>
      <c r="HH8" s="99">
        <v>31.3315281425891</v>
      </c>
      <c r="HI8" s="99">
        <v>31.425569418386502</v>
      </c>
      <c r="HJ8" s="99">
        <v>31.5196106941838</v>
      </c>
      <c r="HK8" s="99">
        <v>31.613651969981198</v>
      </c>
      <c r="HL8" s="99">
        <v>31.7076932457786</v>
      </c>
      <c r="HM8" s="99">
        <v>31.801734521576002</v>
      </c>
      <c r="HN8" s="99">
        <v>31.8957757973733</v>
      </c>
      <c r="HO8" s="99">
        <v>31.989817073170698</v>
      </c>
      <c r="HP8" s="99">
        <v>32.0838583489681</v>
      </c>
      <c r="HQ8" s="99">
        <v>32.177899624765502</v>
      </c>
      <c r="HR8" s="99">
        <v>32.271940900562797</v>
      </c>
      <c r="HS8" s="99">
        <v>32.365982176360198</v>
      </c>
      <c r="HT8" s="99">
        <v>32.4600234521576</v>
      </c>
      <c r="HU8" s="99">
        <v>32.554064727955002</v>
      </c>
      <c r="HV8" s="99">
        <v>32.648106003752297</v>
      </c>
      <c r="HW8" s="99">
        <v>32.742147279549698</v>
      </c>
      <c r="HX8" s="99">
        <v>32.8361885553471</v>
      </c>
      <c r="HY8" s="99">
        <v>32.930229831144402</v>
      </c>
      <c r="HZ8" s="99">
        <v>33.024271106941796</v>
      </c>
      <c r="IA8" s="99">
        <v>33.118312382739198</v>
      </c>
      <c r="IB8" s="99">
        <v>33.2123536585366</v>
      </c>
      <c r="IC8" s="99">
        <v>33.306394934333902</v>
      </c>
      <c r="ID8" s="99">
        <v>33.400436210131303</v>
      </c>
      <c r="IE8" s="99">
        <v>33.494477485928698</v>
      </c>
      <c r="IF8" s="99">
        <v>33.5885187617261</v>
      </c>
      <c r="IG8" s="99">
        <v>33.682560037523402</v>
      </c>
      <c r="IH8" s="99">
        <v>33.776601313320803</v>
      </c>
      <c r="II8" s="99">
        <v>33.870642589118198</v>
      </c>
      <c r="IJ8" s="99">
        <v>33.9646838649156</v>
      </c>
      <c r="IK8" s="99">
        <v>34.058725140712902</v>
      </c>
      <c r="IL8" s="99">
        <v>34.152766416510303</v>
      </c>
      <c r="IM8" s="99">
        <v>34.246807692307698</v>
      </c>
      <c r="IN8" s="99">
        <v>34.340848968105</v>
      </c>
      <c r="IO8" s="99">
        <v>34.434890243902402</v>
      </c>
      <c r="IP8" s="99">
        <v>34.528931519699803</v>
      </c>
      <c r="IQ8" s="99">
        <v>34.622972795497198</v>
      </c>
      <c r="IR8" s="99">
        <v>34.7170140712945</v>
      </c>
      <c r="IS8" s="99">
        <v>34.811055347091902</v>
      </c>
      <c r="IT8" s="99">
        <v>34.905096622889303</v>
      </c>
      <c r="IU8" s="99">
        <v>34.999137898686698</v>
      </c>
      <c r="IV8" s="99">
        <v>35.093179174484</v>
      </c>
      <c r="IW8" s="99">
        <v>35.187220450281401</v>
      </c>
      <c r="IX8" s="99">
        <v>35.281261726078803</v>
      </c>
      <c r="IY8" s="99">
        <v>35.375303001876198</v>
      </c>
      <c r="IZ8" s="99">
        <v>35.4693442776735</v>
      </c>
      <c r="JA8" s="99">
        <v>35.563385553470901</v>
      </c>
      <c r="JB8" s="99">
        <v>35.657426829268303</v>
      </c>
      <c r="JC8" s="99">
        <v>35.751468105065598</v>
      </c>
      <c r="JD8" s="99">
        <v>35.845509380863</v>
      </c>
      <c r="JE8" s="99">
        <v>35.939550656660401</v>
      </c>
      <c r="JF8" s="99">
        <v>36.033591932457803</v>
      </c>
      <c r="JG8" s="99">
        <v>36.127633208255098</v>
      </c>
      <c r="JH8" s="99">
        <v>36.2216744840525</v>
      </c>
      <c r="JI8" s="99">
        <v>36.315715759849901</v>
      </c>
      <c r="JJ8" s="99">
        <v>36.409757035647303</v>
      </c>
      <c r="JK8" s="99">
        <v>36.503798311444598</v>
      </c>
      <c r="JL8" s="99">
        <v>36.597839587241999</v>
      </c>
      <c r="JM8" s="99">
        <v>36.691880863039401</v>
      </c>
      <c r="JN8" s="99">
        <v>36.785922138836803</v>
      </c>
      <c r="JO8" s="99">
        <v>36.879963414634098</v>
      </c>
      <c r="JP8" s="99">
        <v>36.974004690431499</v>
      </c>
      <c r="JQ8" s="99">
        <v>37.068045966228901</v>
      </c>
      <c r="JR8" s="99">
        <v>37.162087242026203</v>
      </c>
      <c r="JS8" s="99">
        <v>37.256128517823598</v>
      </c>
      <c r="JT8" s="99">
        <v>37.350169793620999</v>
      </c>
      <c r="JU8" s="99">
        <v>37.444211069418401</v>
      </c>
      <c r="JV8" s="99">
        <v>37.538252345215703</v>
      </c>
      <c r="JW8" s="99">
        <v>37.632293621013098</v>
      </c>
      <c r="JX8" s="99">
        <v>37.726334896810499</v>
      </c>
      <c r="JY8" s="99">
        <v>37.820376172607901</v>
      </c>
      <c r="JZ8" s="99">
        <v>37.914417448405203</v>
      </c>
      <c r="KA8" s="99">
        <v>38.008458724202598</v>
      </c>
      <c r="KB8" s="99">
        <v>38.102499999999999</v>
      </c>
      <c r="KC8" s="99">
        <v>38.196541275797401</v>
      </c>
      <c r="KD8" s="99">
        <v>38.290582551594703</v>
      </c>
      <c r="KE8" s="99">
        <v>38.384623827392097</v>
      </c>
      <c r="KF8" s="99">
        <v>38.478665103189499</v>
      </c>
      <c r="KG8" s="99">
        <v>38.572706378986801</v>
      </c>
      <c r="KH8" s="99">
        <v>38.666747654784203</v>
      </c>
      <c r="KI8" s="99">
        <v>38.760788930581597</v>
      </c>
      <c r="KJ8" s="99">
        <v>38.854830206378999</v>
      </c>
      <c r="KK8" s="99">
        <v>38.948871482176301</v>
      </c>
      <c r="KL8" s="99">
        <v>39.042912757973703</v>
      </c>
      <c r="KM8" s="99">
        <v>39.136954033771097</v>
      </c>
      <c r="KN8" s="99">
        <v>39.230995309568499</v>
      </c>
      <c r="KO8" s="99">
        <v>39.325036585365801</v>
      </c>
      <c r="KP8" s="99">
        <v>39.419077861163203</v>
      </c>
      <c r="KQ8" s="99">
        <v>39.513119136960597</v>
      </c>
      <c r="KR8" s="99">
        <v>39.607160412757999</v>
      </c>
      <c r="KS8" s="99">
        <v>39.701201688555301</v>
      </c>
      <c r="KT8" s="99">
        <v>39.795242964352703</v>
      </c>
      <c r="KU8" s="99">
        <v>39.889284240150097</v>
      </c>
      <c r="KV8" s="99">
        <v>39.983325515947399</v>
      </c>
      <c r="KW8" s="99">
        <v>40.077366791744801</v>
      </c>
      <c r="KX8" s="99">
        <v>40.171408067542203</v>
      </c>
      <c r="KY8" s="99">
        <v>40.265449343339597</v>
      </c>
      <c r="KZ8" s="99">
        <v>40.359490619136899</v>
      </c>
      <c r="LA8" s="99">
        <v>40.453531894934301</v>
      </c>
      <c r="LB8" s="99">
        <v>40.547573170731702</v>
      </c>
      <c r="LC8" s="99">
        <v>40.641614446529097</v>
      </c>
      <c r="LD8" s="99">
        <v>40.735655722326399</v>
      </c>
      <c r="LE8" s="99">
        <v>40.829696998123801</v>
      </c>
      <c r="LF8" s="99">
        <v>40.923738273921202</v>
      </c>
      <c r="LG8" s="99">
        <v>41.017779549718597</v>
      </c>
      <c r="LH8" s="99">
        <v>41.111820825515899</v>
      </c>
      <c r="LI8" s="99">
        <v>41.205862101313301</v>
      </c>
      <c r="LJ8" s="99">
        <v>41.299903377110702</v>
      </c>
      <c r="LK8" s="99">
        <v>41.393944652907997</v>
      </c>
      <c r="LL8" s="99">
        <v>41.487985928705399</v>
      </c>
      <c r="LM8" s="99">
        <v>41.582027204502801</v>
      </c>
      <c r="LN8" s="99">
        <v>41.676068480300202</v>
      </c>
      <c r="LO8" s="99">
        <v>41.770109756097497</v>
      </c>
      <c r="LP8" s="99">
        <v>41.864151031894899</v>
      </c>
      <c r="LQ8" s="99">
        <v>41.9581923076923</v>
      </c>
      <c r="LR8" s="99">
        <v>42.052233583489702</v>
      </c>
      <c r="LS8" s="99">
        <v>42.146274859286997</v>
      </c>
      <c r="LT8" s="99">
        <v>42.240316135084399</v>
      </c>
      <c r="LU8" s="99">
        <v>42.3343574108818</v>
      </c>
      <c r="LV8" s="99">
        <v>42.428398686679202</v>
      </c>
      <c r="LW8" s="99">
        <v>42.522439962476497</v>
      </c>
      <c r="LX8" s="99">
        <v>42.616481238273899</v>
      </c>
      <c r="LY8" s="99">
        <v>42.7105225140713</v>
      </c>
      <c r="LZ8" s="99">
        <v>42.804563789868602</v>
      </c>
      <c r="MA8" s="99">
        <v>42.898605065665997</v>
      </c>
      <c r="MB8" s="99">
        <v>42.992646341463399</v>
      </c>
      <c r="MC8" s="99">
        <v>43.0866876172608</v>
      </c>
      <c r="MD8" s="99">
        <v>43.180728893058102</v>
      </c>
      <c r="ME8" s="99">
        <v>43.274770168855497</v>
      </c>
      <c r="MF8" s="99">
        <v>43.368811444652899</v>
      </c>
      <c r="MG8" s="99">
        <v>43.4628527204503</v>
      </c>
      <c r="MH8" s="99">
        <v>43.556893996247602</v>
      </c>
      <c r="MI8" s="99">
        <v>43.650935272044997</v>
      </c>
      <c r="MJ8" s="99">
        <v>43.744976547842398</v>
      </c>
      <c r="MK8" s="99">
        <v>43.8390178236398</v>
      </c>
      <c r="ML8" s="99">
        <v>43.933059099437102</v>
      </c>
      <c r="MM8" s="99">
        <v>44.027100375234497</v>
      </c>
      <c r="MN8" s="99">
        <v>44.121141651031898</v>
      </c>
      <c r="MO8" s="99">
        <v>44.2151829268293</v>
      </c>
      <c r="MP8" s="99">
        <v>44.309224202626602</v>
      </c>
      <c r="MQ8" s="99">
        <v>44.403265478423997</v>
      </c>
      <c r="MR8" s="99">
        <v>44.497306754221398</v>
      </c>
      <c r="MS8" s="99">
        <v>44.5913480300187</v>
      </c>
      <c r="MT8" s="99">
        <v>44.685389305816102</v>
      </c>
      <c r="MU8" s="99">
        <v>44.779430581613497</v>
      </c>
      <c r="MV8" s="99">
        <v>44.873471857410898</v>
      </c>
      <c r="MW8" s="99">
        <v>44.9675131332082</v>
      </c>
      <c r="MX8" s="99">
        <v>45.061554409005602</v>
      </c>
      <c r="MY8" s="99">
        <v>45.155595684802996</v>
      </c>
      <c r="MZ8" s="99">
        <v>45.249636960600398</v>
      </c>
      <c r="NA8" s="99">
        <v>45.3436782363977</v>
      </c>
      <c r="NB8" s="99">
        <v>45.437719512195102</v>
      </c>
      <c r="NC8" s="99">
        <v>45.531760787992503</v>
      </c>
      <c r="ND8" s="99">
        <v>45.625802063789799</v>
      </c>
      <c r="NE8" s="99">
        <v>45.7198433395872</v>
      </c>
      <c r="NF8" s="99">
        <v>45.813884615384602</v>
      </c>
      <c r="NG8" s="99">
        <v>45.907925891182003</v>
      </c>
      <c r="NH8" s="99">
        <v>46.001967166979298</v>
      </c>
      <c r="NI8" s="99">
        <v>46.0960084427767</v>
      </c>
      <c r="NJ8" s="99">
        <v>46.190049718574102</v>
      </c>
      <c r="NK8" s="99">
        <v>46.284090994371503</v>
      </c>
      <c r="NL8" s="99">
        <v>46.378132270168798</v>
      </c>
      <c r="NM8" s="99">
        <v>46.4721735459662</v>
      </c>
      <c r="NN8" s="99">
        <v>46.566214821763602</v>
      </c>
      <c r="NO8" s="99">
        <v>46.660256097561003</v>
      </c>
      <c r="NP8" s="99">
        <v>46.754297373358298</v>
      </c>
      <c r="NQ8" s="99">
        <v>46.8483386491557</v>
      </c>
      <c r="NR8" s="99">
        <v>46.942379924953102</v>
      </c>
      <c r="NS8" s="99">
        <v>47.036421200750397</v>
      </c>
      <c r="NT8" s="99">
        <v>47.130462476547798</v>
      </c>
      <c r="NU8" s="99">
        <v>47.2245037523452</v>
      </c>
      <c r="NV8" s="99">
        <v>47.318545028142601</v>
      </c>
      <c r="NW8" s="99">
        <v>47.412586303939896</v>
      </c>
      <c r="NX8" s="99">
        <v>47.506627579737298</v>
      </c>
      <c r="NY8" s="99">
        <v>47.6006688555347</v>
      </c>
      <c r="NZ8" s="99">
        <v>47.694710131332101</v>
      </c>
      <c r="OA8" s="99">
        <v>47.788751407129404</v>
      </c>
      <c r="OB8" s="99">
        <v>47.882792682926798</v>
      </c>
      <c r="OC8" s="99">
        <v>47.9768339587242</v>
      </c>
      <c r="OD8" s="99">
        <v>48.070875234521601</v>
      </c>
      <c r="OE8" s="99">
        <v>48.164916510318903</v>
      </c>
      <c r="OF8" s="99">
        <v>48.258957786116298</v>
      </c>
      <c r="OG8" s="99">
        <v>48.3529990619137</v>
      </c>
      <c r="OH8" s="99">
        <v>48.447040337711101</v>
      </c>
      <c r="OI8" s="99">
        <v>48.541081613508403</v>
      </c>
      <c r="OJ8" s="99">
        <v>48.635122889305798</v>
      </c>
      <c r="OK8" s="99">
        <v>48.729164165103199</v>
      </c>
      <c r="OL8" s="99">
        <v>48.823205440900502</v>
      </c>
      <c r="OM8" s="99">
        <v>48.917246716697903</v>
      </c>
      <c r="ON8" s="99">
        <v>49.011287992495298</v>
      </c>
      <c r="OO8" s="99">
        <v>49.105329268292699</v>
      </c>
      <c r="OP8" s="99">
        <v>49.199370544090002</v>
      </c>
      <c r="OQ8" s="99">
        <v>49.293411819887403</v>
      </c>
      <c r="OR8" s="99">
        <v>49.387453095684798</v>
      </c>
      <c r="OS8" s="99">
        <v>49.481494371482199</v>
      </c>
      <c r="OT8" s="99">
        <v>49.575535647279501</v>
      </c>
      <c r="OU8" s="99">
        <v>49.669576923076903</v>
      </c>
      <c r="OV8" s="99">
        <v>49.763618198874298</v>
      </c>
      <c r="OW8" s="99">
        <v>49.857659474671699</v>
      </c>
      <c r="OX8" s="99">
        <v>49.951700750469001</v>
      </c>
      <c r="OY8" s="99">
        <v>50.045742026266403</v>
      </c>
      <c r="OZ8" s="99">
        <v>50.139783302063798</v>
      </c>
      <c r="PA8" s="99">
        <v>50.2338245778611</v>
      </c>
      <c r="PB8" s="99">
        <v>50.327865853658501</v>
      </c>
      <c r="PC8" s="99">
        <v>50.421907129455903</v>
      </c>
      <c r="PD8" s="99">
        <v>50.515948405253297</v>
      </c>
      <c r="PE8" s="99">
        <v>50.6099896810506</v>
      </c>
      <c r="PF8" s="99">
        <v>50.704030956848001</v>
      </c>
      <c r="PG8" s="99">
        <v>50.798072232645403</v>
      </c>
      <c r="PH8" s="99">
        <v>50.892113508442797</v>
      </c>
      <c r="PI8" s="99">
        <v>50.9861547842401</v>
      </c>
      <c r="PJ8" s="99">
        <v>51.080196060037501</v>
      </c>
      <c r="PK8" s="99">
        <v>51.174237335834903</v>
      </c>
      <c r="PL8" s="99">
        <v>51.268278611632198</v>
      </c>
      <c r="PM8" s="99">
        <v>51.362319887429599</v>
      </c>
      <c r="PN8" s="99">
        <v>51.456361163227001</v>
      </c>
      <c r="PO8" s="99">
        <v>51.550402439024403</v>
      </c>
      <c r="PP8" s="99">
        <v>51.644443714821698</v>
      </c>
      <c r="PQ8" s="99">
        <v>51.738484990619099</v>
      </c>
      <c r="PR8" s="99">
        <v>51.832526266416501</v>
      </c>
      <c r="PS8" s="99">
        <v>51.926567542213903</v>
      </c>
      <c r="PT8" s="99">
        <v>52.020608818011198</v>
      </c>
      <c r="PU8" s="99">
        <v>52.114650093808599</v>
      </c>
      <c r="PV8" s="99">
        <v>52.208691369606001</v>
      </c>
      <c r="PW8" s="99">
        <v>52.302732645403403</v>
      </c>
      <c r="PX8" s="99">
        <v>52.396773921200698</v>
      </c>
      <c r="PY8" s="99">
        <v>52.490815196998099</v>
      </c>
      <c r="PZ8" s="99">
        <v>52.584856472795501</v>
      </c>
      <c r="QA8" s="99">
        <v>52.678897748592803</v>
      </c>
      <c r="QB8" s="99">
        <v>52.772939024390197</v>
      </c>
      <c r="QC8" s="99">
        <v>52.866980300187599</v>
      </c>
      <c r="QD8" s="99">
        <v>52.961021575985001</v>
      </c>
      <c r="QE8" s="99">
        <v>53.055062851782303</v>
      </c>
      <c r="QF8" s="99">
        <v>53.149104127579697</v>
      </c>
      <c r="QG8" s="99">
        <v>53.243145403377099</v>
      </c>
      <c r="QH8" s="99">
        <v>53.337186679174501</v>
      </c>
      <c r="QI8" s="99">
        <v>53.431227954971803</v>
      </c>
      <c r="QJ8" s="99">
        <v>53.525269230769197</v>
      </c>
      <c r="QK8" s="99">
        <v>53.619310506566599</v>
      </c>
      <c r="QL8" s="99">
        <v>53.713351782364001</v>
      </c>
      <c r="QM8" s="99">
        <v>53.807393058161303</v>
      </c>
      <c r="QN8" s="99">
        <v>53.901434333958697</v>
      </c>
      <c r="QO8" s="99">
        <v>53.995475609756099</v>
      </c>
      <c r="QP8" s="99">
        <v>54.0895168855535</v>
      </c>
      <c r="QQ8" s="99">
        <v>54.183558161350803</v>
      </c>
      <c r="QR8" s="99">
        <v>54.277599437148197</v>
      </c>
      <c r="QS8" s="99">
        <v>54.371640712945599</v>
      </c>
      <c r="QT8" s="99">
        <v>54.465681988742901</v>
      </c>
      <c r="QU8" s="99">
        <v>54.559723264540303</v>
      </c>
      <c r="QV8" s="99">
        <v>54.653764540337697</v>
      </c>
      <c r="QW8" s="99">
        <v>54.747805816135099</v>
      </c>
      <c r="QX8" s="99">
        <v>54.841847091932401</v>
      </c>
      <c r="QY8" s="99">
        <v>54.935888367729802</v>
      </c>
      <c r="QZ8" s="99">
        <v>55.029929643527197</v>
      </c>
      <c r="RA8" s="99">
        <v>55.123970919324599</v>
      </c>
      <c r="RB8" s="99">
        <v>55.218012195121901</v>
      </c>
      <c r="RC8" s="99">
        <v>55.312053470919302</v>
      </c>
      <c r="RD8" s="99">
        <v>55.406094746716697</v>
      </c>
      <c r="RE8" s="99">
        <v>55.500136022513999</v>
      </c>
      <c r="RF8" s="99">
        <v>55.594177298311401</v>
      </c>
      <c r="RG8" s="99">
        <v>55.688218574108802</v>
      </c>
      <c r="RH8" s="99">
        <v>55.782259849906197</v>
      </c>
      <c r="RI8" s="99">
        <v>55.876301125703499</v>
      </c>
      <c r="RJ8" s="99">
        <v>55.970342401500901</v>
      </c>
      <c r="RK8" s="99">
        <v>56.064383677298302</v>
      </c>
      <c r="RL8" s="99">
        <v>56.158424953095697</v>
      </c>
      <c r="RM8" s="99">
        <v>56.252466228892999</v>
      </c>
      <c r="RN8" s="99">
        <v>56.3465075046904</v>
      </c>
      <c r="RO8" s="99">
        <v>56.440548780487802</v>
      </c>
      <c r="RP8" s="99">
        <v>56.534590056285197</v>
      </c>
      <c r="RQ8" s="99">
        <v>56.628631332082499</v>
      </c>
      <c r="RR8" s="99">
        <v>56.7226726078799</v>
      </c>
      <c r="RS8" s="99">
        <v>56.816713883677302</v>
      </c>
      <c r="RT8" s="99">
        <v>56.910755159474597</v>
      </c>
      <c r="RU8" s="99">
        <v>57.004796435271999</v>
      </c>
      <c r="RV8" s="99">
        <v>57.0988377110694</v>
      </c>
      <c r="RW8" s="99">
        <v>57.192878986866802</v>
      </c>
      <c r="RX8" s="99">
        <v>57.286920262664097</v>
      </c>
      <c r="RY8" s="99">
        <v>57.380961538461499</v>
      </c>
      <c r="RZ8" s="99">
        <v>57.4750028142589</v>
      </c>
      <c r="SA8" s="99">
        <v>57.569044090056302</v>
      </c>
      <c r="SB8" s="99">
        <v>57.663085365853597</v>
      </c>
      <c r="SC8" s="99">
        <v>57.757126641650999</v>
      </c>
      <c r="SD8" s="99">
        <v>57.8511679174484</v>
      </c>
      <c r="SE8" s="99">
        <v>57.945209193245802</v>
      </c>
      <c r="SF8" s="99">
        <v>58.039250469043097</v>
      </c>
      <c r="SG8" s="99">
        <v>58.133291744840498</v>
      </c>
      <c r="SH8" s="99">
        <v>58.2273330206379</v>
      </c>
      <c r="SI8" s="99">
        <v>58.321374296435302</v>
      </c>
      <c r="SJ8" s="99">
        <v>58.415415572232597</v>
      </c>
      <c r="SK8" s="99">
        <v>58.509456848029998</v>
      </c>
      <c r="SL8" s="99">
        <v>58.6034981238274</v>
      </c>
      <c r="SM8" s="99">
        <v>58.697539399624702</v>
      </c>
      <c r="SN8" s="99">
        <v>58.791580675422097</v>
      </c>
      <c r="SO8" s="99">
        <v>58.885621951219498</v>
      </c>
      <c r="SP8" s="99">
        <v>58.9796632270169</v>
      </c>
      <c r="SQ8" s="99">
        <v>59.073704502814202</v>
      </c>
      <c r="SR8" s="99">
        <v>59.167745778611597</v>
      </c>
      <c r="SS8" s="99">
        <v>59.261787054408998</v>
      </c>
      <c r="ST8" s="99">
        <v>59.3558283302064</v>
      </c>
      <c r="SU8" s="99">
        <v>59.449869606003702</v>
      </c>
      <c r="SV8" s="99">
        <v>59.543910881801096</v>
      </c>
      <c r="SW8" s="99">
        <v>59.637952157598498</v>
      </c>
      <c r="SX8" s="99">
        <v>59.7319934333959</v>
      </c>
      <c r="SY8" s="99">
        <v>59.826034709193202</v>
      </c>
      <c r="SZ8" s="99">
        <v>59.920075984990604</v>
      </c>
      <c r="TA8" s="99">
        <v>60.014117260787998</v>
      </c>
      <c r="TB8" s="99">
        <v>60.1081585365853</v>
      </c>
      <c r="TC8" s="99">
        <v>60.202199812382702</v>
      </c>
      <c r="TD8" s="99">
        <v>60.296241088180103</v>
      </c>
      <c r="TE8" s="99">
        <v>60.390282363977498</v>
      </c>
      <c r="TF8" s="99">
        <v>60.4843236397748</v>
      </c>
      <c r="TG8" s="99">
        <v>60.578364915572202</v>
      </c>
      <c r="TH8" s="99">
        <v>60.672406191369603</v>
      </c>
      <c r="TI8" s="99">
        <v>60.766447467166998</v>
      </c>
      <c r="TJ8" s="99">
        <v>60.8604887429643</v>
      </c>
      <c r="TK8" s="99">
        <v>60.954530018761702</v>
      </c>
      <c r="TL8" s="99">
        <v>61.048571294559103</v>
      </c>
      <c r="TM8" s="99">
        <v>61.142612570356398</v>
      </c>
      <c r="TN8" s="99">
        <v>61.2366538461538</v>
      </c>
      <c r="TO8" s="99">
        <v>61.330695121951202</v>
      </c>
      <c r="TP8" s="99">
        <v>61.424736397748603</v>
      </c>
      <c r="TQ8" s="99">
        <v>61.518777673545898</v>
      </c>
      <c r="TR8" s="99">
        <v>61.6128189493433</v>
      </c>
      <c r="TS8" s="99">
        <v>61.706860225140701</v>
      </c>
      <c r="TT8" s="99">
        <v>61.800901500938103</v>
      </c>
      <c r="TU8" s="99">
        <v>61.894942776735398</v>
      </c>
      <c r="TV8" s="99">
        <v>61.9889840525328</v>
      </c>
      <c r="TW8" s="99">
        <v>62.083025328330201</v>
      </c>
      <c r="TX8" s="99">
        <v>62.177066604127603</v>
      </c>
      <c r="TY8" s="99">
        <v>62.271107879924898</v>
      </c>
      <c r="TZ8" s="99">
        <v>62.3651491557223</v>
      </c>
      <c r="UA8" s="99">
        <v>62.459190431519701</v>
      </c>
      <c r="UB8" s="99">
        <v>62.553231707317103</v>
      </c>
      <c r="UC8" s="99">
        <v>62.647272983114398</v>
      </c>
      <c r="UD8" s="99">
        <v>62.7413142589118</v>
      </c>
      <c r="UE8" s="99">
        <v>62.835355534709201</v>
      </c>
      <c r="UF8" s="99">
        <v>62.929396810506503</v>
      </c>
      <c r="UG8" s="99">
        <v>63.023438086303898</v>
      </c>
      <c r="UH8" s="99">
        <v>63.1174793621013</v>
      </c>
      <c r="UI8" s="99">
        <v>63.211520637898701</v>
      </c>
      <c r="UJ8" s="99">
        <v>63.305561913696003</v>
      </c>
      <c r="UK8" s="99">
        <v>63.399603189493398</v>
      </c>
      <c r="UL8" s="99">
        <v>63.493644465290799</v>
      </c>
      <c r="UM8" s="99">
        <v>63.587685741088201</v>
      </c>
      <c r="UN8" s="99">
        <v>63.681727016885503</v>
      </c>
      <c r="UO8" s="99">
        <v>63.775768292682898</v>
      </c>
      <c r="UP8" s="99">
        <v>63.869809568480299</v>
      </c>
      <c r="UQ8" s="99">
        <v>63.963850844277701</v>
      </c>
      <c r="UR8" s="99">
        <v>64.057892120074996</v>
      </c>
      <c r="US8" s="99">
        <v>64.151933395872405</v>
      </c>
      <c r="UT8" s="99">
        <v>64.245974671669799</v>
      </c>
    </row>
    <row r="9" spans="1:566" x14ac:dyDescent="0.2">
      <c r="A9" s="89">
        <v>1.5</v>
      </c>
      <c r="B9" s="90">
        <v>11.05</v>
      </c>
      <c r="C9" s="90">
        <v>11.14</v>
      </c>
      <c r="D9" s="90">
        <v>11.24</v>
      </c>
      <c r="E9" s="90">
        <v>11.33</v>
      </c>
      <c r="F9" s="90">
        <v>11.42</v>
      </c>
      <c r="G9" s="90">
        <v>11.52</v>
      </c>
      <c r="H9" s="90">
        <v>11.61</v>
      </c>
      <c r="I9" s="90">
        <v>11.7</v>
      </c>
      <c r="J9" s="90">
        <v>11.79</v>
      </c>
      <c r="K9" s="90">
        <v>11.89</v>
      </c>
      <c r="L9" s="90">
        <v>11.98</v>
      </c>
      <c r="M9" s="90">
        <v>12.07</v>
      </c>
      <c r="N9" s="90">
        <v>12.17</v>
      </c>
      <c r="O9" s="90">
        <v>12.26</v>
      </c>
      <c r="P9" s="90">
        <v>12.35</v>
      </c>
      <c r="Q9" s="90">
        <v>12.44</v>
      </c>
      <c r="R9" s="90">
        <v>12.54</v>
      </c>
      <c r="S9" s="90">
        <v>12.63</v>
      </c>
      <c r="T9" s="90">
        <v>12.72</v>
      </c>
      <c r="U9" s="91">
        <v>12.81</v>
      </c>
      <c r="V9" s="90">
        <v>12.91</v>
      </c>
      <c r="W9" s="90">
        <v>13</v>
      </c>
      <c r="X9" s="90">
        <v>13.09</v>
      </c>
      <c r="Y9" s="90">
        <v>13.19</v>
      </c>
      <c r="Z9" s="90">
        <v>13.28</v>
      </c>
      <c r="AA9" s="90">
        <v>13.37</v>
      </c>
      <c r="AB9" s="90">
        <v>13.46</v>
      </c>
      <c r="AC9" s="90">
        <v>13.56</v>
      </c>
      <c r="AD9" s="90">
        <v>13.65</v>
      </c>
      <c r="AE9" s="90">
        <v>13.74</v>
      </c>
      <c r="AF9" s="90">
        <v>13.84</v>
      </c>
      <c r="AG9" s="90">
        <v>13.93</v>
      </c>
      <c r="AH9" s="90">
        <v>14.02</v>
      </c>
      <c r="AI9" s="90">
        <v>14.11</v>
      </c>
      <c r="AJ9" s="90">
        <v>14.21</v>
      </c>
      <c r="AK9" s="90">
        <v>14.3</v>
      </c>
      <c r="AL9" s="90">
        <v>14.39</v>
      </c>
      <c r="AM9" s="90">
        <v>14.48</v>
      </c>
      <c r="AN9" s="90">
        <v>14.58</v>
      </c>
      <c r="AO9" s="91">
        <v>14.67</v>
      </c>
      <c r="AP9" s="90">
        <v>14.7631538461538</v>
      </c>
      <c r="AQ9" s="90">
        <v>14.8559418386491</v>
      </c>
      <c r="AR9" s="90">
        <v>14.948729831144499</v>
      </c>
      <c r="AS9" s="90">
        <v>15.041517823639801</v>
      </c>
      <c r="AT9" s="90">
        <v>15.1343058161351</v>
      </c>
      <c r="AU9" s="90">
        <v>15.2270938086304</v>
      </c>
      <c r="AV9" s="90">
        <v>15.3198818011257</v>
      </c>
      <c r="AW9" s="90">
        <v>15.412669793620999</v>
      </c>
      <c r="AX9" s="90">
        <v>15.505457786116301</v>
      </c>
      <c r="AY9" s="90">
        <v>15.5982457786116</v>
      </c>
      <c r="AZ9" s="90">
        <v>15.6910337711069</v>
      </c>
      <c r="BA9" s="90">
        <v>15.7838217636022</v>
      </c>
      <c r="BB9" s="90">
        <v>15.876609756097601</v>
      </c>
      <c r="BC9" s="90">
        <v>15.9693977485929</v>
      </c>
      <c r="BD9" s="90">
        <v>16.0621857410882</v>
      </c>
      <c r="BE9" s="90">
        <v>16.1549737335835</v>
      </c>
      <c r="BF9" s="90">
        <v>16.247761726078799</v>
      </c>
      <c r="BG9" s="90">
        <v>16.340549718574099</v>
      </c>
      <c r="BH9" s="90">
        <v>16.433337711069399</v>
      </c>
      <c r="BI9" s="91">
        <v>16.526125703564698</v>
      </c>
      <c r="BJ9" s="90">
        <v>16.618913696060002</v>
      </c>
      <c r="BK9" s="99">
        <v>16.711701688555301</v>
      </c>
      <c r="BL9" s="99">
        <v>16.804489681050701</v>
      </c>
      <c r="BM9" s="99">
        <v>16.897277673546</v>
      </c>
      <c r="BN9" s="99">
        <v>16.9900656660413</v>
      </c>
      <c r="BO9" s="99">
        <v>17.0828536585366</v>
      </c>
      <c r="BP9" s="99">
        <v>17.175641651031899</v>
      </c>
      <c r="BQ9" s="99">
        <v>17.268429643527199</v>
      </c>
      <c r="BR9" s="99">
        <v>17.361217636022499</v>
      </c>
      <c r="BS9" s="99">
        <v>17.454005628517798</v>
      </c>
      <c r="BT9" s="99">
        <v>17.546793621013101</v>
      </c>
      <c r="BU9" s="99">
        <v>17.639581613508401</v>
      </c>
      <c r="BV9" s="99">
        <v>17.7323696060038</v>
      </c>
      <c r="BW9" s="99">
        <v>17.8251575984991</v>
      </c>
      <c r="BX9" s="99">
        <v>17.9179455909944</v>
      </c>
      <c r="BY9" s="99">
        <v>18.010733583489699</v>
      </c>
      <c r="BZ9" s="99">
        <v>18.103521575984999</v>
      </c>
      <c r="CA9" s="99">
        <v>18.196309568480299</v>
      </c>
      <c r="CB9" s="99">
        <v>18.289097560975598</v>
      </c>
      <c r="CC9" s="99">
        <v>18.381885553470902</v>
      </c>
      <c r="CD9" s="99">
        <v>18.474673545966201</v>
      </c>
      <c r="CE9" s="99">
        <v>18.567461538461501</v>
      </c>
      <c r="CF9" s="99">
        <v>18.660249530956801</v>
      </c>
      <c r="CG9" s="99">
        <v>18.7530375234522</v>
      </c>
      <c r="CH9" s="99">
        <v>18.845825515947499</v>
      </c>
      <c r="CI9" s="99">
        <v>18.938613508442799</v>
      </c>
      <c r="CJ9" s="99">
        <v>19.031401500938099</v>
      </c>
      <c r="CK9" s="99">
        <v>19.124189493433398</v>
      </c>
      <c r="CL9" s="99">
        <v>19.216977485928702</v>
      </c>
      <c r="CM9" s="99">
        <v>19.309765478424001</v>
      </c>
      <c r="CN9" s="99">
        <v>19.402553470919301</v>
      </c>
      <c r="CO9" s="99">
        <v>19.495341463414601</v>
      </c>
      <c r="CP9" s="99">
        <v>19.5881294559099</v>
      </c>
      <c r="CQ9" s="99">
        <v>19.6809174484052</v>
      </c>
      <c r="CR9" s="99">
        <v>19.773705440900599</v>
      </c>
      <c r="CS9" s="99">
        <v>19.866493433395899</v>
      </c>
      <c r="CT9" s="99">
        <v>19.959281425891199</v>
      </c>
      <c r="CU9" s="99">
        <v>20.052069418386498</v>
      </c>
      <c r="CV9" s="99">
        <v>20.144857410881801</v>
      </c>
      <c r="CW9" s="99">
        <v>20.237645403377101</v>
      </c>
      <c r="CX9" s="99">
        <v>20.330433395872401</v>
      </c>
      <c r="CY9" s="99">
        <v>20.423221388367701</v>
      </c>
      <c r="CZ9" s="99">
        <v>20.516009380863</v>
      </c>
      <c r="DA9" s="99">
        <v>20.6087973733583</v>
      </c>
      <c r="DB9" s="99">
        <v>20.7015853658536</v>
      </c>
      <c r="DC9" s="99">
        <v>20.794373358348999</v>
      </c>
      <c r="DD9" s="99">
        <v>20.887161350844298</v>
      </c>
      <c r="DE9" s="99">
        <v>20.979949343339602</v>
      </c>
      <c r="DF9" s="99">
        <v>21.072737335834901</v>
      </c>
      <c r="DG9" s="99">
        <v>21.165525328330201</v>
      </c>
      <c r="DH9" s="99">
        <v>21.2583133208256</v>
      </c>
      <c r="DI9" s="99">
        <v>21.3511013133209</v>
      </c>
      <c r="DJ9" s="99">
        <v>21.443889305816199</v>
      </c>
      <c r="DK9" s="99">
        <v>21.536677298311499</v>
      </c>
      <c r="DL9" s="99">
        <v>21.629465290806799</v>
      </c>
      <c r="DM9" s="99">
        <v>21.722253283302098</v>
      </c>
      <c r="DN9" s="99">
        <v>21.815041275797402</v>
      </c>
      <c r="DO9" s="99">
        <v>21.907829268292701</v>
      </c>
      <c r="DP9" s="99">
        <v>22.000617260788001</v>
      </c>
      <c r="DQ9" s="99">
        <v>22.093405253283301</v>
      </c>
      <c r="DR9" s="99">
        <v>22.1861932457786</v>
      </c>
      <c r="DS9" s="99">
        <v>22.278981238274</v>
      </c>
      <c r="DT9" s="99">
        <v>22.371769230769299</v>
      </c>
      <c r="DU9" s="99">
        <v>22.464557223264599</v>
      </c>
      <c r="DV9" s="99">
        <v>22.557345215759899</v>
      </c>
      <c r="DW9" s="99">
        <v>22.650133208255198</v>
      </c>
      <c r="DX9" s="99">
        <v>22.742921200750501</v>
      </c>
      <c r="DY9" s="99">
        <v>22.835709193245801</v>
      </c>
      <c r="DZ9" s="99">
        <v>22.928497185741101</v>
      </c>
      <c r="EA9" s="99">
        <v>23.021285178236401</v>
      </c>
      <c r="EB9" s="99">
        <v>23.1140731707317</v>
      </c>
      <c r="EC9" s="99">
        <v>23.206861163227099</v>
      </c>
      <c r="ED9" s="99">
        <v>23.299649155722399</v>
      </c>
      <c r="EE9" s="99">
        <v>23.392437148217699</v>
      </c>
      <c r="EF9" s="99">
        <v>23.485225140712998</v>
      </c>
      <c r="EG9" s="99">
        <v>23.578013133208302</v>
      </c>
      <c r="EH9" s="99">
        <v>23.670801125703601</v>
      </c>
      <c r="EI9" s="99">
        <v>23.763589118198901</v>
      </c>
      <c r="EJ9" s="99">
        <v>23.856377110694201</v>
      </c>
      <c r="EK9" s="99">
        <v>23.9491651031895</v>
      </c>
      <c r="EL9" s="99">
        <v>24.0419530956848</v>
      </c>
      <c r="EM9" s="99">
        <v>24.1347410881801</v>
      </c>
      <c r="EN9" s="99">
        <v>24.227529080675499</v>
      </c>
      <c r="EO9" s="99">
        <v>24.320317073170798</v>
      </c>
      <c r="EP9" s="99">
        <v>24.413105065666102</v>
      </c>
      <c r="EQ9" s="99">
        <v>24.505893058161401</v>
      </c>
      <c r="ER9" s="99">
        <v>24.598681050656701</v>
      </c>
      <c r="ES9" s="99">
        <v>24.691469043152001</v>
      </c>
      <c r="ET9" s="99">
        <v>24.7842570356473</v>
      </c>
      <c r="EU9" s="99">
        <v>24.8770450281426</v>
      </c>
      <c r="EV9" s="99">
        <v>24.9698330206379</v>
      </c>
      <c r="EW9" s="99">
        <v>25.062621013133199</v>
      </c>
      <c r="EX9" s="99">
        <v>25.155409005628599</v>
      </c>
      <c r="EY9" s="99">
        <v>25.248196998123898</v>
      </c>
      <c r="EZ9" s="99">
        <v>25.340984990619202</v>
      </c>
      <c r="FA9" s="99">
        <v>25.433772983114501</v>
      </c>
      <c r="FB9" s="99">
        <v>25.526560975609801</v>
      </c>
      <c r="FC9" s="99">
        <v>25.619348968105101</v>
      </c>
      <c r="FD9" s="99">
        <v>25.7121369606004</v>
      </c>
      <c r="FE9" s="99">
        <v>25.8049249530957</v>
      </c>
      <c r="FF9" s="99">
        <v>25.897712945591</v>
      </c>
      <c r="FG9" s="99">
        <v>25.990500938086299</v>
      </c>
      <c r="FH9" s="99">
        <v>26.083288930581599</v>
      </c>
      <c r="FI9" s="99">
        <v>26.176076923077002</v>
      </c>
      <c r="FJ9" s="99">
        <v>26.268864915572301</v>
      </c>
      <c r="FK9" s="99">
        <v>26.361652908067601</v>
      </c>
      <c r="FL9" s="99">
        <v>26.454440900562901</v>
      </c>
      <c r="FM9" s="99">
        <v>26.5472288930582</v>
      </c>
      <c r="FN9" s="99">
        <v>26.6400168855535</v>
      </c>
      <c r="FO9" s="99">
        <v>26.7328048780488</v>
      </c>
      <c r="FP9" s="99">
        <v>26.825592870544099</v>
      </c>
      <c r="FQ9" s="99">
        <v>26.918380863039399</v>
      </c>
      <c r="FR9" s="99">
        <v>27.011168855534699</v>
      </c>
      <c r="FS9" s="99">
        <v>27.103956848030101</v>
      </c>
      <c r="FT9" s="99">
        <v>27.196744840525401</v>
      </c>
      <c r="FU9" s="99">
        <v>27.289532833020701</v>
      </c>
      <c r="FV9" s="99">
        <v>27.382320825516</v>
      </c>
      <c r="FW9" s="99">
        <v>27.4751088180113</v>
      </c>
      <c r="FX9" s="99">
        <v>27.5678968105066</v>
      </c>
      <c r="FY9" s="99">
        <v>27.660684803001899</v>
      </c>
      <c r="FZ9" s="99">
        <v>27.753472795497199</v>
      </c>
      <c r="GA9" s="99">
        <v>27.846260787992499</v>
      </c>
      <c r="GB9" s="99">
        <v>27.939048780487798</v>
      </c>
      <c r="GC9" s="99">
        <v>28.031836772983102</v>
      </c>
      <c r="GD9" s="99">
        <v>28.124624765478501</v>
      </c>
      <c r="GE9" s="99">
        <v>28.217412757973801</v>
      </c>
      <c r="GF9" s="99">
        <v>28.3102007504691</v>
      </c>
      <c r="GG9" s="99">
        <v>28.4029887429644</v>
      </c>
      <c r="GH9" s="99">
        <v>28.4957767354597</v>
      </c>
      <c r="GI9" s="99">
        <v>28.588564727954999</v>
      </c>
      <c r="GJ9" s="99">
        <v>28.681352720450299</v>
      </c>
      <c r="GK9" s="99">
        <v>28.774140712945599</v>
      </c>
      <c r="GL9" s="99">
        <v>28.866928705440898</v>
      </c>
      <c r="GM9" s="99">
        <v>28.959716697936202</v>
      </c>
      <c r="GN9" s="99">
        <v>29.052504690431601</v>
      </c>
      <c r="GO9" s="99">
        <v>29.1452926829269</v>
      </c>
      <c r="GP9" s="99">
        <v>29.2380806754222</v>
      </c>
      <c r="GQ9" s="99">
        <v>29.3308686679175</v>
      </c>
      <c r="GR9" s="99">
        <v>29.423656660412799</v>
      </c>
      <c r="GS9" s="99">
        <v>29.516444652908099</v>
      </c>
      <c r="GT9" s="99">
        <v>29.609232645403399</v>
      </c>
      <c r="GU9" s="99">
        <v>29.702020637898698</v>
      </c>
      <c r="GV9" s="99">
        <v>29.794808630394002</v>
      </c>
      <c r="GW9" s="99">
        <v>29.887596622889301</v>
      </c>
      <c r="GX9" s="99">
        <v>29.980384615384601</v>
      </c>
      <c r="GY9" s="99">
        <v>30.07317260788</v>
      </c>
      <c r="GZ9" s="99">
        <v>30.1659606003753</v>
      </c>
      <c r="HA9" s="99">
        <v>30.258748592870599</v>
      </c>
      <c r="HB9" s="99">
        <v>30.351536585365899</v>
      </c>
      <c r="HC9" s="99">
        <v>30.444324577861199</v>
      </c>
      <c r="HD9" s="99">
        <v>30.537112570356499</v>
      </c>
      <c r="HE9" s="99">
        <v>30.629900562851802</v>
      </c>
      <c r="HF9" s="99">
        <v>30.722688555347101</v>
      </c>
      <c r="HG9" s="99">
        <v>30.815476547842401</v>
      </c>
      <c r="HH9" s="99">
        <v>30.908264540337701</v>
      </c>
      <c r="HI9" s="99">
        <v>31.0010525328331</v>
      </c>
      <c r="HJ9" s="99">
        <v>31.0938405253284</v>
      </c>
      <c r="HK9" s="99">
        <v>31.186628517823699</v>
      </c>
      <c r="HL9" s="99">
        <v>31.279416510318999</v>
      </c>
      <c r="HM9" s="99">
        <v>31.372204502814299</v>
      </c>
      <c r="HN9" s="99">
        <v>31.464992495309598</v>
      </c>
      <c r="HO9" s="99">
        <v>31.557780487804902</v>
      </c>
      <c r="HP9" s="99">
        <v>31.650568480300201</v>
      </c>
      <c r="HQ9" s="99">
        <v>31.743356472795501</v>
      </c>
      <c r="HR9" s="99">
        <v>31.836144465290801</v>
      </c>
      <c r="HS9" s="99">
        <v>31.9289324577862</v>
      </c>
      <c r="HT9" s="99">
        <v>32.021720450281499</v>
      </c>
      <c r="HU9" s="99">
        <v>32.114508442776803</v>
      </c>
      <c r="HV9" s="99">
        <v>32.207296435272099</v>
      </c>
      <c r="HW9" s="99">
        <v>32.300084427767402</v>
      </c>
      <c r="HX9" s="99">
        <v>32.392872420262698</v>
      </c>
      <c r="HY9" s="99">
        <v>32.485660412758001</v>
      </c>
      <c r="HZ9" s="99">
        <v>32.578448405253297</v>
      </c>
      <c r="IA9" s="99">
        <v>32.671236397748601</v>
      </c>
      <c r="IB9" s="99">
        <v>32.764024390243897</v>
      </c>
      <c r="IC9" s="99">
        <v>32.8568123827392</v>
      </c>
      <c r="ID9" s="99">
        <v>32.949600375234603</v>
      </c>
      <c r="IE9" s="99">
        <v>33.042388367729899</v>
      </c>
      <c r="IF9" s="99">
        <v>33.135176360225202</v>
      </c>
      <c r="IG9" s="99">
        <v>33.227964352720498</v>
      </c>
      <c r="IH9" s="99">
        <v>33.320752345215801</v>
      </c>
      <c r="II9" s="99">
        <v>33.413540337711098</v>
      </c>
      <c r="IJ9" s="99">
        <v>33.506328330206401</v>
      </c>
      <c r="IK9" s="99">
        <v>33.599116322701697</v>
      </c>
      <c r="IL9" s="99">
        <v>33.691904315197</v>
      </c>
      <c r="IM9" s="99">
        <v>33.784692307692303</v>
      </c>
      <c r="IN9" s="99">
        <v>33.877480300187699</v>
      </c>
      <c r="IO9" s="99">
        <v>33.970268292683002</v>
      </c>
      <c r="IP9" s="99">
        <v>34.063056285178298</v>
      </c>
      <c r="IQ9" s="99">
        <v>34.155844277673602</v>
      </c>
      <c r="IR9" s="99">
        <v>34.248632270168898</v>
      </c>
      <c r="IS9" s="99">
        <v>34.341420262664201</v>
      </c>
      <c r="IT9" s="99">
        <v>34.434208255159497</v>
      </c>
      <c r="IU9" s="99">
        <v>34.5269962476548</v>
      </c>
      <c r="IV9" s="99">
        <v>34.619784240150103</v>
      </c>
      <c r="IW9" s="99">
        <v>34.7125722326454</v>
      </c>
      <c r="IX9" s="99">
        <v>34.805360225140703</v>
      </c>
      <c r="IY9" s="99">
        <v>34.898148217636098</v>
      </c>
      <c r="IZ9" s="99">
        <v>34.990936210131402</v>
      </c>
      <c r="JA9" s="99">
        <v>35.083724202626698</v>
      </c>
      <c r="JB9" s="99">
        <v>35.176512195122001</v>
      </c>
      <c r="JC9" s="99">
        <v>35.269300187617297</v>
      </c>
      <c r="JD9" s="99">
        <v>35.3620881801126</v>
      </c>
      <c r="JE9" s="99">
        <v>35.454876172607896</v>
      </c>
      <c r="JF9" s="99">
        <v>35.5476641651032</v>
      </c>
      <c r="JG9" s="99">
        <v>35.640452157598503</v>
      </c>
      <c r="JH9" s="99">
        <v>35.733240150093799</v>
      </c>
      <c r="JI9" s="99">
        <v>35.826028142589202</v>
      </c>
      <c r="JJ9" s="99">
        <v>35.918816135084498</v>
      </c>
      <c r="JK9" s="99">
        <v>36.011604127579801</v>
      </c>
      <c r="JL9" s="99">
        <v>36.104392120075097</v>
      </c>
      <c r="JM9" s="99">
        <v>36.1971801125704</v>
      </c>
      <c r="JN9" s="99">
        <v>36.289968105065697</v>
      </c>
      <c r="JO9" s="99">
        <v>36.382756097561</v>
      </c>
      <c r="JP9" s="99">
        <v>36.475544090056303</v>
      </c>
      <c r="JQ9" s="99">
        <v>36.568332082551599</v>
      </c>
      <c r="JR9" s="99">
        <v>36.661120075046902</v>
      </c>
      <c r="JS9" s="99">
        <v>36.753908067542199</v>
      </c>
      <c r="JT9" s="99">
        <v>36.846696060037601</v>
      </c>
      <c r="JU9" s="99">
        <v>36.939484052532897</v>
      </c>
      <c r="JV9" s="99">
        <v>37.032272045028201</v>
      </c>
      <c r="JW9" s="99">
        <v>37.125060037523497</v>
      </c>
      <c r="JX9" s="99">
        <v>37.2178480300188</v>
      </c>
      <c r="JY9" s="99">
        <v>37.310636022514103</v>
      </c>
      <c r="JZ9" s="99">
        <v>37.403424015009399</v>
      </c>
      <c r="KA9" s="99">
        <v>37.496212007504703</v>
      </c>
      <c r="KB9" s="99">
        <v>37.588999999999999</v>
      </c>
      <c r="KC9" s="99">
        <v>37.681787992495302</v>
      </c>
      <c r="KD9" s="99">
        <v>37.774575984990697</v>
      </c>
      <c r="KE9" s="99">
        <v>37.867363977486001</v>
      </c>
      <c r="KF9" s="99">
        <v>37.960151969981297</v>
      </c>
      <c r="KG9" s="99">
        <v>38.0529399624766</v>
      </c>
      <c r="KH9" s="99">
        <v>38.145727954971903</v>
      </c>
      <c r="KI9" s="99">
        <v>38.238515947467199</v>
      </c>
      <c r="KJ9" s="99">
        <v>38.331303939962503</v>
      </c>
      <c r="KK9" s="99">
        <v>38.424091932457799</v>
      </c>
      <c r="KL9" s="99">
        <v>38.516879924953102</v>
      </c>
      <c r="KM9" s="99">
        <v>38.609667917448398</v>
      </c>
      <c r="KN9" s="99">
        <v>38.702455909943701</v>
      </c>
      <c r="KO9" s="99">
        <v>38.795243902439097</v>
      </c>
      <c r="KP9" s="99">
        <v>38.8880318949344</v>
      </c>
      <c r="KQ9" s="99">
        <v>38.980819887429703</v>
      </c>
      <c r="KR9" s="99">
        <v>39.073607879925</v>
      </c>
      <c r="KS9" s="99">
        <v>39.166395872420303</v>
      </c>
      <c r="KT9" s="99">
        <v>39.259183864915599</v>
      </c>
      <c r="KU9" s="99">
        <v>39.351971857410902</v>
      </c>
      <c r="KV9" s="99">
        <v>39.444759849906198</v>
      </c>
      <c r="KW9" s="99">
        <v>39.537547842401501</v>
      </c>
      <c r="KX9" s="99">
        <v>39.630335834896798</v>
      </c>
      <c r="KY9" s="99">
        <v>39.7231238273922</v>
      </c>
      <c r="KZ9" s="99">
        <v>39.815911819887503</v>
      </c>
      <c r="LA9" s="99">
        <v>39.9086998123828</v>
      </c>
      <c r="LB9" s="99">
        <v>40.001487804878103</v>
      </c>
      <c r="LC9" s="99">
        <v>40.094275797373399</v>
      </c>
      <c r="LD9" s="99">
        <v>40.187063789868702</v>
      </c>
      <c r="LE9" s="99">
        <v>40.279851782363998</v>
      </c>
      <c r="LF9" s="99">
        <v>40.372639774859302</v>
      </c>
      <c r="LG9" s="99">
        <v>40.465427767354598</v>
      </c>
      <c r="LH9" s="99">
        <v>40.558215759849901</v>
      </c>
      <c r="LI9" s="99">
        <v>40.651003752345197</v>
      </c>
      <c r="LJ9" s="99">
        <v>40.7437917448406</v>
      </c>
      <c r="LK9" s="99">
        <v>40.836579737335903</v>
      </c>
      <c r="LL9" s="99">
        <v>40.929367729831199</v>
      </c>
      <c r="LM9" s="99">
        <v>41.022155722326502</v>
      </c>
      <c r="LN9" s="99">
        <v>41.114943714821798</v>
      </c>
      <c r="LO9" s="99">
        <v>41.207731707317102</v>
      </c>
      <c r="LP9" s="99">
        <v>41.300519699812398</v>
      </c>
      <c r="LQ9" s="99">
        <v>41.393307692307701</v>
      </c>
      <c r="LR9" s="99">
        <v>41.486095684802997</v>
      </c>
      <c r="LS9" s="99">
        <v>41.5788836772983</v>
      </c>
      <c r="LT9" s="99">
        <v>41.671671669793703</v>
      </c>
      <c r="LU9" s="99">
        <v>41.764459662288999</v>
      </c>
      <c r="LV9" s="99">
        <v>41.857247654784302</v>
      </c>
      <c r="LW9" s="99">
        <v>41.950035647279599</v>
      </c>
      <c r="LX9" s="99">
        <v>42.042823639774902</v>
      </c>
      <c r="LY9" s="99">
        <v>42.135611632270198</v>
      </c>
      <c r="LZ9" s="99">
        <v>42.228399624765501</v>
      </c>
      <c r="MA9" s="99">
        <v>42.321187617260797</v>
      </c>
      <c r="MB9" s="99">
        <v>42.4139756097561</v>
      </c>
      <c r="MC9" s="99">
        <v>42.506763602251397</v>
      </c>
      <c r="MD9" s="99">
        <v>42.599551594746799</v>
      </c>
      <c r="ME9" s="99">
        <v>42.692339587242103</v>
      </c>
      <c r="MF9" s="99">
        <v>42.785127579737399</v>
      </c>
      <c r="MG9" s="99">
        <v>42.877915572232702</v>
      </c>
      <c r="MH9" s="99">
        <v>42.970703564727998</v>
      </c>
      <c r="MI9" s="99">
        <v>43.063491557223301</v>
      </c>
      <c r="MJ9" s="99">
        <v>43.156279549718597</v>
      </c>
      <c r="MK9" s="99">
        <v>43.249067542213901</v>
      </c>
      <c r="ML9" s="99">
        <v>43.341855534709197</v>
      </c>
      <c r="MM9" s="99">
        <v>43.4346435272045</v>
      </c>
      <c r="MN9" s="99">
        <v>43.527431519699803</v>
      </c>
      <c r="MO9" s="99">
        <v>43.620219512195199</v>
      </c>
      <c r="MP9" s="99">
        <v>43.713007504690502</v>
      </c>
      <c r="MQ9" s="99">
        <v>43.805795497185798</v>
      </c>
      <c r="MR9" s="99">
        <v>43.898583489681101</v>
      </c>
      <c r="MS9" s="99">
        <v>43.991371482176397</v>
      </c>
      <c r="MT9" s="99">
        <v>44.084159474671701</v>
      </c>
      <c r="MU9" s="99">
        <v>44.176947467166997</v>
      </c>
      <c r="MV9" s="99">
        <v>44.2697354596623</v>
      </c>
      <c r="MW9" s="99">
        <v>44.362523452157603</v>
      </c>
      <c r="MX9" s="99">
        <v>44.455311444652899</v>
      </c>
      <c r="MY9" s="99">
        <v>44.548099437148302</v>
      </c>
      <c r="MZ9" s="99">
        <v>44.640887429643598</v>
      </c>
      <c r="NA9" s="99">
        <v>44.733675422138901</v>
      </c>
      <c r="NB9" s="99">
        <v>44.826463414634198</v>
      </c>
      <c r="NC9" s="99">
        <v>44.919251407129501</v>
      </c>
      <c r="ND9" s="99">
        <v>45.012039399624797</v>
      </c>
      <c r="NE9" s="99">
        <v>45.1048273921201</v>
      </c>
      <c r="NF9" s="99">
        <v>45.197615384615403</v>
      </c>
      <c r="NG9" s="99">
        <v>45.2904033771107</v>
      </c>
      <c r="NH9" s="99">
        <v>45.383191369606003</v>
      </c>
      <c r="NI9" s="99">
        <v>45.475979362101299</v>
      </c>
      <c r="NJ9" s="99">
        <v>45.568767354596702</v>
      </c>
      <c r="NK9" s="99">
        <v>45.661555347091998</v>
      </c>
      <c r="NL9" s="99">
        <v>45.754343339587301</v>
      </c>
      <c r="NM9" s="99">
        <v>45.847131332082597</v>
      </c>
      <c r="NN9" s="99">
        <v>45.9399193245779</v>
      </c>
      <c r="NO9" s="99">
        <v>46.032707317073204</v>
      </c>
      <c r="NP9" s="99">
        <v>46.1254953095685</v>
      </c>
      <c r="NQ9" s="99">
        <v>46.218283302063803</v>
      </c>
      <c r="NR9" s="99">
        <v>46.311071294559099</v>
      </c>
      <c r="NS9" s="99">
        <v>46.403859287054402</v>
      </c>
      <c r="NT9" s="99">
        <v>46.496647279549698</v>
      </c>
      <c r="NU9" s="99">
        <v>46.589435272045101</v>
      </c>
      <c r="NV9" s="99">
        <v>46.682223264540397</v>
      </c>
      <c r="NW9" s="99">
        <v>46.7750112570357</v>
      </c>
      <c r="NX9" s="99">
        <v>46.867799249530997</v>
      </c>
      <c r="NY9" s="99">
        <v>46.9605872420263</v>
      </c>
      <c r="NZ9" s="99">
        <v>47.053375234521603</v>
      </c>
      <c r="OA9" s="99">
        <v>47.146163227016899</v>
      </c>
      <c r="OB9" s="99">
        <v>47.238951219512202</v>
      </c>
      <c r="OC9" s="99">
        <v>47.331739212007498</v>
      </c>
      <c r="OD9" s="99">
        <v>47.424527204502802</v>
      </c>
      <c r="OE9" s="99">
        <v>47.517315196998197</v>
      </c>
      <c r="OF9" s="99">
        <v>47.610103189493501</v>
      </c>
      <c r="OG9" s="99">
        <v>47.702891181988797</v>
      </c>
      <c r="OH9" s="99">
        <v>47.7956791744841</v>
      </c>
      <c r="OI9" s="99">
        <v>47.888467166979403</v>
      </c>
      <c r="OJ9" s="99">
        <v>47.981255159474699</v>
      </c>
      <c r="OK9" s="99">
        <v>48.074043151970002</v>
      </c>
      <c r="OL9" s="99">
        <v>48.166831144465299</v>
      </c>
      <c r="OM9" s="99">
        <v>48.259619136960602</v>
      </c>
      <c r="ON9" s="99">
        <v>48.352407129455898</v>
      </c>
      <c r="OO9" s="99">
        <v>48.445195121951301</v>
      </c>
      <c r="OP9" s="99">
        <v>48.537983114446597</v>
      </c>
      <c r="OQ9" s="99">
        <v>48.6307711069419</v>
      </c>
      <c r="OR9" s="99">
        <v>48.723559099437203</v>
      </c>
      <c r="OS9" s="99">
        <v>48.816347091932499</v>
      </c>
      <c r="OT9" s="99">
        <v>48.909135084427803</v>
      </c>
      <c r="OU9" s="99">
        <v>49.001923076923099</v>
      </c>
      <c r="OV9" s="99">
        <v>49.094711069418402</v>
      </c>
      <c r="OW9" s="99">
        <v>49.187499061913698</v>
      </c>
      <c r="OX9" s="99">
        <v>49.280287054409001</v>
      </c>
      <c r="OY9" s="99">
        <v>49.373075046904297</v>
      </c>
      <c r="OZ9" s="99">
        <v>49.4658630393997</v>
      </c>
      <c r="PA9" s="99">
        <v>49.558651031895003</v>
      </c>
      <c r="PB9" s="99">
        <v>49.651439024390299</v>
      </c>
      <c r="PC9" s="99">
        <v>49.744227016885603</v>
      </c>
      <c r="PD9" s="99">
        <v>49.837015009380899</v>
      </c>
      <c r="PE9" s="99">
        <v>49.929803001876202</v>
      </c>
      <c r="PF9" s="99">
        <v>50.022590994371498</v>
      </c>
      <c r="PG9" s="99">
        <v>50.115378986866801</v>
      </c>
      <c r="PH9" s="99">
        <v>50.208166979362097</v>
      </c>
      <c r="PI9" s="99">
        <v>50.300954971857401</v>
      </c>
      <c r="PJ9" s="99">
        <v>50.393742964352803</v>
      </c>
      <c r="PK9" s="99">
        <v>50.4865309568481</v>
      </c>
      <c r="PL9" s="99">
        <v>50.579318949343403</v>
      </c>
      <c r="PM9" s="99">
        <v>50.672106941838699</v>
      </c>
      <c r="PN9" s="99">
        <v>50.764894934334002</v>
      </c>
      <c r="PO9" s="99">
        <v>50.857682926829298</v>
      </c>
      <c r="PP9" s="99">
        <v>50.950470919324601</v>
      </c>
      <c r="PQ9" s="99">
        <v>51.043258911819898</v>
      </c>
      <c r="PR9" s="99">
        <v>51.136046904315201</v>
      </c>
      <c r="PS9" s="99">
        <v>51.228834896810497</v>
      </c>
      <c r="PT9" s="99">
        <v>51.3216228893059</v>
      </c>
      <c r="PU9" s="99">
        <v>51.414410881801203</v>
      </c>
      <c r="PV9" s="99">
        <v>51.507198874296499</v>
      </c>
      <c r="PW9" s="99">
        <v>51.599986866791802</v>
      </c>
      <c r="PX9" s="99">
        <v>51.692774859287098</v>
      </c>
      <c r="PY9" s="99">
        <v>51.785562851782402</v>
      </c>
      <c r="PZ9" s="99">
        <v>51.878350844277698</v>
      </c>
      <c r="QA9" s="99">
        <v>51.971138836773001</v>
      </c>
      <c r="QB9" s="99">
        <v>52.063926829268297</v>
      </c>
      <c r="QC9" s="99">
        <v>52.1567148217636</v>
      </c>
      <c r="QD9" s="99">
        <v>52.249502814258904</v>
      </c>
      <c r="QE9" s="99">
        <v>52.342290806754299</v>
      </c>
      <c r="QF9" s="99">
        <v>52.435078799249602</v>
      </c>
      <c r="QG9" s="99">
        <v>52.527866791744898</v>
      </c>
      <c r="QH9" s="99">
        <v>52.620654784240202</v>
      </c>
      <c r="QI9" s="99">
        <v>52.713442776735498</v>
      </c>
      <c r="QJ9" s="99">
        <v>52.806230769230801</v>
      </c>
      <c r="QK9" s="99">
        <v>52.899018761726097</v>
      </c>
      <c r="QL9" s="99">
        <v>52.9918067542214</v>
      </c>
      <c r="QM9" s="99">
        <v>53.084594746716697</v>
      </c>
      <c r="QN9" s="99">
        <v>53.177382739212</v>
      </c>
      <c r="QO9" s="99">
        <v>53.270170731707303</v>
      </c>
      <c r="QP9" s="99">
        <v>53.362958724202699</v>
      </c>
      <c r="QQ9" s="99">
        <v>53.455746716698002</v>
      </c>
      <c r="QR9" s="99">
        <v>53.548534709193298</v>
      </c>
      <c r="QS9" s="99">
        <v>53.641322701688601</v>
      </c>
      <c r="QT9" s="99">
        <v>53.734110694183897</v>
      </c>
      <c r="QU9" s="99">
        <v>53.826898686679201</v>
      </c>
      <c r="QV9" s="99">
        <v>53.919686679174497</v>
      </c>
      <c r="QW9" s="99">
        <v>54.0124746716698</v>
      </c>
      <c r="QX9" s="99">
        <v>54.105262664165103</v>
      </c>
      <c r="QY9" s="99">
        <v>54.198050656660399</v>
      </c>
      <c r="QZ9" s="99">
        <v>54.290838649155802</v>
      </c>
      <c r="RA9" s="99">
        <v>54.383626641651098</v>
      </c>
      <c r="RB9" s="99">
        <v>54.476414634146401</v>
      </c>
      <c r="RC9" s="99">
        <v>54.569202626641697</v>
      </c>
      <c r="RD9" s="99">
        <v>54.661990619137001</v>
      </c>
      <c r="RE9" s="99">
        <v>54.754778611632297</v>
      </c>
      <c r="RF9" s="99">
        <v>54.8475666041276</v>
      </c>
      <c r="RG9" s="99">
        <v>54.940354596622903</v>
      </c>
      <c r="RH9" s="99">
        <v>55.033142589118199</v>
      </c>
      <c r="RI9" s="99">
        <v>55.125930581613503</v>
      </c>
      <c r="RJ9" s="99">
        <v>55.218718574108799</v>
      </c>
      <c r="RK9" s="99">
        <v>55.311506566604201</v>
      </c>
      <c r="RL9" s="99">
        <v>55.404294559099498</v>
      </c>
      <c r="RM9" s="99">
        <v>55.497082551594801</v>
      </c>
      <c r="RN9" s="99">
        <v>55.589870544090097</v>
      </c>
      <c r="RO9" s="99">
        <v>55.6826585365854</v>
      </c>
      <c r="RP9" s="99">
        <v>55.775446529080703</v>
      </c>
      <c r="RQ9" s="99">
        <v>55.868234521575999</v>
      </c>
      <c r="RR9" s="99">
        <v>55.961022514071303</v>
      </c>
      <c r="RS9" s="99">
        <v>56.053810506566599</v>
      </c>
      <c r="RT9" s="99">
        <v>56.146598499061902</v>
      </c>
      <c r="RU9" s="99">
        <v>56.239386491557298</v>
      </c>
      <c r="RV9" s="99">
        <v>56.332174484052601</v>
      </c>
      <c r="RW9" s="99">
        <v>56.424962476547897</v>
      </c>
      <c r="RX9" s="99">
        <v>56.5177504690432</v>
      </c>
      <c r="RY9" s="99">
        <v>56.610538461538503</v>
      </c>
      <c r="RZ9" s="99">
        <v>56.7033264540338</v>
      </c>
      <c r="SA9" s="99">
        <v>56.796114446529103</v>
      </c>
      <c r="SB9" s="99">
        <v>56.888902439024399</v>
      </c>
      <c r="SC9" s="99">
        <v>56.981690431519702</v>
      </c>
      <c r="SD9" s="99">
        <v>57.074478424014998</v>
      </c>
      <c r="SE9" s="99">
        <v>57.167266416510401</v>
      </c>
      <c r="SF9" s="99">
        <v>57.260054409005697</v>
      </c>
      <c r="SG9" s="99">
        <v>57.352842401501</v>
      </c>
      <c r="SH9" s="99">
        <v>57.445630393996296</v>
      </c>
      <c r="SI9" s="99">
        <v>57.5384183864916</v>
      </c>
      <c r="SJ9" s="99">
        <v>57.631206378986903</v>
      </c>
      <c r="SK9" s="99">
        <v>57.723994371482199</v>
      </c>
      <c r="SL9" s="99">
        <v>57.816782363977502</v>
      </c>
      <c r="SM9" s="99">
        <v>57.909570356472798</v>
      </c>
      <c r="SN9" s="99">
        <v>58.002358348968102</v>
      </c>
      <c r="SO9" s="99">
        <v>58.095146341463398</v>
      </c>
      <c r="SP9" s="99">
        <v>58.1879343339588</v>
      </c>
      <c r="SQ9" s="99">
        <v>58.280722326454097</v>
      </c>
      <c r="SR9" s="99">
        <v>58.3735103189494</v>
      </c>
      <c r="SS9" s="99">
        <v>58.466298311444703</v>
      </c>
      <c r="ST9" s="99">
        <v>58.559086303939999</v>
      </c>
      <c r="SU9" s="99">
        <v>58.651874296435302</v>
      </c>
      <c r="SV9" s="99">
        <v>58.744662288930598</v>
      </c>
      <c r="SW9" s="99">
        <v>58.837450281425902</v>
      </c>
      <c r="SX9" s="99">
        <v>58.930238273921198</v>
      </c>
      <c r="SY9" s="99">
        <v>59.023026266416501</v>
      </c>
      <c r="SZ9" s="99">
        <v>59.115814258911797</v>
      </c>
      <c r="TA9" s="99">
        <v>59.2086022514072</v>
      </c>
      <c r="TB9" s="99">
        <v>59.301390243902503</v>
      </c>
      <c r="TC9" s="99">
        <v>59.394178236397799</v>
      </c>
      <c r="TD9" s="99">
        <v>59.486966228893102</v>
      </c>
      <c r="TE9" s="99">
        <v>59.579754221388399</v>
      </c>
      <c r="TF9" s="99">
        <v>59.672542213883702</v>
      </c>
      <c r="TG9" s="99">
        <v>59.765330206378998</v>
      </c>
      <c r="TH9" s="99">
        <v>59.858118198874301</v>
      </c>
      <c r="TI9" s="99">
        <v>59.950906191369597</v>
      </c>
      <c r="TJ9" s="99">
        <v>60.043694183864901</v>
      </c>
      <c r="TK9" s="99">
        <v>60.136482176360303</v>
      </c>
      <c r="TL9" s="99">
        <v>60.229270168855599</v>
      </c>
      <c r="TM9" s="99">
        <v>60.322058161350903</v>
      </c>
      <c r="TN9" s="99">
        <v>60.414846153846199</v>
      </c>
      <c r="TO9" s="99">
        <v>60.507634146341502</v>
      </c>
      <c r="TP9" s="99">
        <v>60.600422138836798</v>
      </c>
      <c r="TQ9" s="99">
        <v>60.693210131332101</v>
      </c>
      <c r="TR9" s="99">
        <v>60.785998123827397</v>
      </c>
      <c r="TS9" s="99">
        <v>60.878786116322701</v>
      </c>
      <c r="TT9" s="99">
        <v>60.971574108817997</v>
      </c>
      <c r="TU9" s="99">
        <v>61.064362101313399</v>
      </c>
      <c r="TV9" s="99">
        <v>61.157150093808703</v>
      </c>
      <c r="TW9" s="99">
        <v>61.249938086303999</v>
      </c>
      <c r="TX9" s="99">
        <v>61.342726078799302</v>
      </c>
      <c r="TY9" s="99">
        <v>61.435514071294598</v>
      </c>
      <c r="TZ9" s="99">
        <v>61.528302063789901</v>
      </c>
      <c r="UA9" s="99">
        <v>61.621090056285198</v>
      </c>
      <c r="UB9" s="99">
        <v>61.713878048780501</v>
      </c>
      <c r="UC9" s="99">
        <v>61.806666041275797</v>
      </c>
      <c r="UD9" s="99">
        <v>61.8994540337711</v>
      </c>
      <c r="UE9" s="99">
        <v>61.992242026266403</v>
      </c>
      <c r="UF9" s="99">
        <v>62.085030018761799</v>
      </c>
      <c r="UG9" s="99">
        <v>62.177818011257102</v>
      </c>
      <c r="UH9" s="99">
        <v>62.270606003752398</v>
      </c>
      <c r="UI9" s="99">
        <v>62.363393996247702</v>
      </c>
      <c r="UJ9" s="99">
        <v>62.456181988742998</v>
      </c>
      <c r="UK9" s="99">
        <v>62.548969981238301</v>
      </c>
      <c r="UL9" s="99">
        <v>62.641757973733597</v>
      </c>
      <c r="UM9" s="99">
        <v>62.7345459662289</v>
      </c>
      <c r="UN9" s="99">
        <v>62.827333958724203</v>
      </c>
      <c r="UO9" s="99">
        <v>62.9201219512195</v>
      </c>
      <c r="UP9" s="99">
        <v>63.012909943714902</v>
      </c>
      <c r="UQ9" s="99">
        <v>63.105697936210198</v>
      </c>
      <c r="UR9" s="99">
        <v>63.198485928705502</v>
      </c>
      <c r="US9" s="99">
        <v>63.291273921200798</v>
      </c>
      <c r="UT9" s="99">
        <v>63.384061913696101</v>
      </c>
    </row>
    <row r="10" spans="1:566" x14ac:dyDescent="0.2">
      <c r="A10" s="89">
        <v>2</v>
      </c>
      <c r="B10" s="90">
        <v>10.9</v>
      </c>
      <c r="C10" s="90">
        <v>10.99</v>
      </c>
      <c r="D10" s="90">
        <v>11.08</v>
      </c>
      <c r="E10" s="90">
        <v>11.18</v>
      </c>
      <c r="F10" s="90">
        <v>11.27</v>
      </c>
      <c r="G10" s="90">
        <v>11.36</v>
      </c>
      <c r="H10" s="90">
        <v>11.45</v>
      </c>
      <c r="I10" s="90">
        <v>11.54</v>
      </c>
      <c r="J10" s="90">
        <v>11.63</v>
      </c>
      <c r="K10" s="90">
        <v>11.72</v>
      </c>
      <c r="L10" s="90">
        <v>11.82</v>
      </c>
      <c r="M10" s="90">
        <v>11.91</v>
      </c>
      <c r="N10" s="90">
        <v>12</v>
      </c>
      <c r="O10" s="90">
        <v>12.09</v>
      </c>
      <c r="P10" s="90">
        <v>12.18</v>
      </c>
      <c r="Q10" s="90">
        <v>12.27</v>
      </c>
      <c r="R10" s="90">
        <v>12.37</v>
      </c>
      <c r="S10" s="90">
        <v>12.46</v>
      </c>
      <c r="T10" s="90">
        <v>12.55</v>
      </c>
      <c r="U10" s="91">
        <v>12.64</v>
      </c>
      <c r="V10" s="90">
        <v>12.73</v>
      </c>
      <c r="W10" s="90">
        <v>12.82</v>
      </c>
      <c r="X10" s="90">
        <v>12.91</v>
      </c>
      <c r="Y10" s="90">
        <v>13.01</v>
      </c>
      <c r="Z10" s="90">
        <v>13.1</v>
      </c>
      <c r="AA10" s="90">
        <v>13.19</v>
      </c>
      <c r="AB10" s="90">
        <v>13.28</v>
      </c>
      <c r="AC10" s="90">
        <v>13.37</v>
      </c>
      <c r="AD10" s="90">
        <v>13.46</v>
      </c>
      <c r="AE10" s="90">
        <v>13.56</v>
      </c>
      <c r="AF10" s="90">
        <v>13.65</v>
      </c>
      <c r="AG10" s="90">
        <v>13.74</v>
      </c>
      <c r="AH10" s="90">
        <v>13.83</v>
      </c>
      <c r="AI10" s="90">
        <v>13.92</v>
      </c>
      <c r="AJ10" s="90">
        <v>14.01</v>
      </c>
      <c r="AK10" s="90">
        <v>14.1</v>
      </c>
      <c r="AL10" s="90">
        <v>14.2</v>
      </c>
      <c r="AM10" s="90">
        <v>14.29</v>
      </c>
      <c r="AN10" s="90">
        <v>14.38</v>
      </c>
      <c r="AO10" s="91">
        <v>14.47</v>
      </c>
      <c r="AP10" s="90">
        <v>14.5624615384615</v>
      </c>
      <c r="AQ10" s="90">
        <v>14.6540084427767</v>
      </c>
      <c r="AR10" s="90">
        <v>14.7455553470919</v>
      </c>
      <c r="AS10" s="90">
        <v>14.837102251407099</v>
      </c>
      <c r="AT10" s="90">
        <v>14.928649155722299</v>
      </c>
      <c r="AU10" s="90">
        <v>15.020196060037501</v>
      </c>
      <c r="AV10" s="90">
        <v>15.1117429643527</v>
      </c>
      <c r="AW10" s="90">
        <v>15.2032898686679</v>
      </c>
      <c r="AX10" s="90">
        <v>15.2948367729831</v>
      </c>
      <c r="AY10" s="90">
        <v>15.3863836772983</v>
      </c>
      <c r="AZ10" s="90">
        <v>15.477930581613499</v>
      </c>
      <c r="BA10" s="90">
        <v>15.569477485928701</v>
      </c>
      <c r="BB10" s="90">
        <v>15.661024390243901</v>
      </c>
      <c r="BC10" s="90">
        <v>15.7525712945591</v>
      </c>
      <c r="BD10" s="90">
        <v>15.8441181988743</v>
      </c>
      <c r="BE10" s="90">
        <v>15.9356651031895</v>
      </c>
      <c r="BF10" s="90">
        <v>16.027212007504701</v>
      </c>
      <c r="BG10" s="90">
        <v>16.118758911819899</v>
      </c>
      <c r="BH10" s="90">
        <v>16.210305816135101</v>
      </c>
      <c r="BI10" s="91">
        <v>16.301852720450299</v>
      </c>
      <c r="BJ10" s="90">
        <v>16.3933996247655</v>
      </c>
      <c r="BK10" s="99">
        <v>16.484946529080698</v>
      </c>
      <c r="BL10" s="99">
        <v>16.5764934333959</v>
      </c>
      <c r="BM10" s="99">
        <v>16.668040337711101</v>
      </c>
      <c r="BN10" s="99">
        <v>16.759587242026299</v>
      </c>
      <c r="BO10" s="99">
        <v>16.851134146341501</v>
      </c>
      <c r="BP10" s="99">
        <v>16.942681050656699</v>
      </c>
      <c r="BQ10" s="99">
        <v>17.0342279549719</v>
      </c>
      <c r="BR10" s="99">
        <v>17.125774859287102</v>
      </c>
      <c r="BS10" s="99">
        <v>17.2173217636022</v>
      </c>
      <c r="BT10" s="99">
        <v>17.308868667917501</v>
      </c>
      <c r="BU10" s="99">
        <v>17.4004155722326</v>
      </c>
      <c r="BV10" s="99">
        <v>17.491962476547801</v>
      </c>
      <c r="BW10" s="99">
        <v>17.583509380862999</v>
      </c>
      <c r="BX10" s="99">
        <v>17.675056285178201</v>
      </c>
      <c r="BY10" s="99">
        <v>17.766603189493399</v>
      </c>
      <c r="BZ10" s="99">
        <v>17.8581500938086</v>
      </c>
      <c r="CA10" s="99">
        <v>17.949696998123802</v>
      </c>
      <c r="CB10" s="99">
        <v>18.041243902439</v>
      </c>
      <c r="CC10" s="99">
        <v>18.132790806754201</v>
      </c>
      <c r="CD10" s="99">
        <v>18.224337711069399</v>
      </c>
      <c r="CE10" s="99">
        <v>18.315884615384601</v>
      </c>
      <c r="CF10" s="99">
        <v>18.407431519699799</v>
      </c>
      <c r="CG10" s="99">
        <v>18.498978424015</v>
      </c>
      <c r="CH10" s="99">
        <v>18.590525328330202</v>
      </c>
      <c r="CI10" s="99">
        <v>18.6820722326454</v>
      </c>
      <c r="CJ10" s="99">
        <v>18.773619136960601</v>
      </c>
      <c r="CK10" s="99">
        <v>18.865166041275799</v>
      </c>
      <c r="CL10" s="99">
        <v>18.956712945591001</v>
      </c>
      <c r="CM10" s="99">
        <v>19.048259849906199</v>
      </c>
      <c r="CN10" s="99">
        <v>19.1398067542214</v>
      </c>
      <c r="CO10" s="99">
        <v>19.231353658536602</v>
      </c>
      <c r="CP10" s="99">
        <v>19.3229005628518</v>
      </c>
      <c r="CQ10" s="99">
        <v>19.414447467167001</v>
      </c>
      <c r="CR10" s="99">
        <v>19.505994371482199</v>
      </c>
      <c r="CS10" s="99">
        <v>19.597541275797401</v>
      </c>
      <c r="CT10" s="99">
        <v>19.689088180112599</v>
      </c>
      <c r="CU10" s="99">
        <v>19.7806350844278</v>
      </c>
      <c r="CV10" s="99">
        <v>19.872181988743002</v>
      </c>
      <c r="CW10" s="99">
        <v>19.9637288930582</v>
      </c>
      <c r="CX10" s="99">
        <v>20.055275797373401</v>
      </c>
      <c r="CY10" s="99">
        <v>20.146822701688599</v>
      </c>
      <c r="CZ10" s="99">
        <v>20.238369606003801</v>
      </c>
      <c r="DA10" s="99">
        <v>20.329916510318998</v>
      </c>
      <c r="DB10" s="99">
        <v>20.4214634146342</v>
      </c>
      <c r="DC10" s="99">
        <v>20.513010318949298</v>
      </c>
      <c r="DD10" s="99">
        <v>20.6045572232645</v>
      </c>
      <c r="DE10" s="99">
        <v>20.696104127579702</v>
      </c>
      <c r="DF10" s="99">
        <v>20.787651031894899</v>
      </c>
      <c r="DG10" s="99">
        <v>20.879197936210101</v>
      </c>
      <c r="DH10" s="99">
        <v>20.970744840525398</v>
      </c>
      <c r="DI10" s="99">
        <v>21.0622917448406</v>
      </c>
      <c r="DJ10" s="99">
        <v>21.153838649155801</v>
      </c>
      <c r="DK10" s="99">
        <v>21.245385553470999</v>
      </c>
      <c r="DL10" s="99">
        <v>21.336932457786201</v>
      </c>
      <c r="DM10" s="99">
        <v>21.428479362101399</v>
      </c>
      <c r="DN10" s="99">
        <v>21.5200262664166</v>
      </c>
      <c r="DO10" s="99">
        <v>21.611573170731699</v>
      </c>
      <c r="DP10" s="99">
        <v>21.7031200750469</v>
      </c>
      <c r="DQ10" s="99">
        <v>21.794666979362098</v>
      </c>
      <c r="DR10" s="99">
        <v>21.8862138836773</v>
      </c>
      <c r="DS10" s="99">
        <v>21.977760787992501</v>
      </c>
      <c r="DT10" s="99">
        <v>22.069307692307699</v>
      </c>
      <c r="DU10" s="99">
        <v>22.160854596622901</v>
      </c>
      <c r="DV10" s="99">
        <v>22.252401500938099</v>
      </c>
      <c r="DW10" s="99">
        <v>22.3439484052533</v>
      </c>
      <c r="DX10" s="99">
        <v>22.435495309568498</v>
      </c>
      <c r="DY10" s="99">
        <v>22.5270422138837</v>
      </c>
      <c r="DZ10" s="99">
        <v>22.618589118198901</v>
      </c>
      <c r="EA10" s="99">
        <v>22.710136022514099</v>
      </c>
      <c r="EB10" s="99">
        <v>22.801682926829301</v>
      </c>
      <c r="EC10" s="99">
        <v>22.893229831144499</v>
      </c>
      <c r="ED10" s="99">
        <v>22.9847767354597</v>
      </c>
      <c r="EE10" s="99">
        <v>23.076323639774898</v>
      </c>
      <c r="EF10" s="99">
        <v>23.1678705440901</v>
      </c>
      <c r="EG10" s="99">
        <v>23.259417448405301</v>
      </c>
      <c r="EH10" s="99">
        <v>23.350964352720499</v>
      </c>
      <c r="EI10" s="99">
        <v>23.442511257035701</v>
      </c>
      <c r="EJ10" s="99">
        <v>23.534058161350899</v>
      </c>
      <c r="EK10" s="99">
        <v>23.6256050656661</v>
      </c>
      <c r="EL10" s="99">
        <v>23.717151969981298</v>
      </c>
      <c r="EM10" s="99">
        <v>23.8086988742965</v>
      </c>
      <c r="EN10" s="99">
        <v>23.900245778611701</v>
      </c>
      <c r="EO10" s="99">
        <v>23.991792682926899</v>
      </c>
      <c r="EP10" s="99">
        <v>24.083339587242101</v>
      </c>
      <c r="EQ10" s="99">
        <v>24.174886491557299</v>
      </c>
      <c r="ER10" s="99">
        <v>24.2664333958725</v>
      </c>
      <c r="ES10" s="99">
        <v>24.357980300187702</v>
      </c>
      <c r="ET10" s="99">
        <v>24.4495272045029</v>
      </c>
      <c r="EU10" s="99">
        <v>24.541074108818101</v>
      </c>
      <c r="EV10" s="99">
        <v>24.6326210131332</v>
      </c>
      <c r="EW10" s="99">
        <v>24.724167917448401</v>
      </c>
      <c r="EX10" s="99">
        <v>24.815714821763599</v>
      </c>
      <c r="EY10" s="99">
        <v>24.907261726078801</v>
      </c>
      <c r="EZ10" s="99">
        <v>24.998808630393999</v>
      </c>
      <c r="FA10" s="99">
        <v>25.0903555347092</v>
      </c>
      <c r="FB10" s="99">
        <v>25.181902439024402</v>
      </c>
      <c r="FC10" s="99">
        <v>25.2734493433396</v>
      </c>
      <c r="FD10" s="99">
        <v>25.364996247654801</v>
      </c>
      <c r="FE10" s="99">
        <v>25.456543151969999</v>
      </c>
      <c r="FF10" s="99">
        <v>25.548090056285201</v>
      </c>
      <c r="FG10" s="99">
        <v>25.639636960600399</v>
      </c>
      <c r="FH10" s="99">
        <v>25.7311838649156</v>
      </c>
      <c r="FI10" s="99">
        <v>25.822730769230802</v>
      </c>
      <c r="FJ10" s="99">
        <v>25.914277673546</v>
      </c>
      <c r="FK10" s="99">
        <v>26.005824577861201</v>
      </c>
      <c r="FL10" s="99">
        <v>26.097371482176399</v>
      </c>
      <c r="FM10" s="99">
        <v>26.188918386491601</v>
      </c>
      <c r="FN10" s="99">
        <v>26.280465290806799</v>
      </c>
      <c r="FO10" s="99">
        <v>26.372012195122</v>
      </c>
      <c r="FP10" s="99">
        <v>26.463559099437202</v>
      </c>
      <c r="FQ10" s="99">
        <v>26.5551060037524</v>
      </c>
      <c r="FR10" s="99">
        <v>26.646652908067601</v>
      </c>
      <c r="FS10" s="99">
        <v>26.738199812382799</v>
      </c>
      <c r="FT10" s="99">
        <v>26.829746716698001</v>
      </c>
      <c r="FU10" s="99">
        <v>26.921293621013199</v>
      </c>
      <c r="FV10" s="99">
        <v>27.0128405253284</v>
      </c>
      <c r="FW10" s="99">
        <v>27.104387429643602</v>
      </c>
      <c r="FX10" s="99">
        <v>27.1959343339588</v>
      </c>
      <c r="FY10" s="99">
        <v>27.287481238274001</v>
      </c>
      <c r="FZ10" s="99">
        <v>27.379028142589199</v>
      </c>
      <c r="GA10" s="99">
        <v>27.470575046904401</v>
      </c>
      <c r="GB10" s="99">
        <v>27.562121951219599</v>
      </c>
      <c r="GC10" s="99">
        <v>27.653668855534701</v>
      </c>
      <c r="GD10" s="99">
        <v>27.745215759849899</v>
      </c>
      <c r="GE10" s="99">
        <v>27.8367626641651</v>
      </c>
      <c r="GF10" s="99">
        <v>27.928309568480302</v>
      </c>
      <c r="GG10" s="99">
        <v>28.0198564727955</v>
      </c>
      <c r="GH10" s="99">
        <v>28.111403377110701</v>
      </c>
      <c r="GI10" s="99">
        <v>28.202950281425899</v>
      </c>
      <c r="GJ10" s="99">
        <v>28.294497185741101</v>
      </c>
      <c r="GK10" s="99">
        <v>28.386044090056298</v>
      </c>
      <c r="GL10" s="99">
        <v>28.4775909943715</v>
      </c>
      <c r="GM10" s="99">
        <v>28.569137898686702</v>
      </c>
      <c r="GN10" s="99">
        <v>28.660684803001899</v>
      </c>
      <c r="GO10" s="99">
        <v>28.752231707317101</v>
      </c>
      <c r="GP10" s="99">
        <v>28.843778611632299</v>
      </c>
      <c r="GQ10" s="99">
        <v>28.9353255159475</v>
      </c>
      <c r="GR10" s="99">
        <v>29.026872420262698</v>
      </c>
      <c r="GS10" s="99">
        <v>29.1184193245779</v>
      </c>
      <c r="GT10" s="99">
        <v>29.209966228893101</v>
      </c>
      <c r="GU10" s="99">
        <v>29.301513133208299</v>
      </c>
      <c r="GV10" s="99">
        <v>29.393060037523501</v>
      </c>
      <c r="GW10" s="99">
        <v>29.484606941838699</v>
      </c>
      <c r="GX10" s="99">
        <v>29.5761538461539</v>
      </c>
      <c r="GY10" s="99">
        <v>29.667700750469098</v>
      </c>
      <c r="GZ10" s="99">
        <v>29.7592476547843</v>
      </c>
      <c r="HA10" s="99">
        <v>29.850794559099501</v>
      </c>
      <c r="HB10" s="99">
        <v>29.942341463414699</v>
      </c>
      <c r="HC10" s="99">
        <v>30.033888367729901</v>
      </c>
      <c r="HD10" s="99">
        <v>30.125435272045099</v>
      </c>
      <c r="HE10" s="99">
        <v>30.2169821763603</v>
      </c>
      <c r="HF10" s="99">
        <v>30.308529080675498</v>
      </c>
      <c r="HG10" s="99">
        <v>30.4000759849907</v>
      </c>
      <c r="HH10" s="99">
        <v>30.491622889305901</v>
      </c>
      <c r="HI10" s="99">
        <v>30.583169793621099</v>
      </c>
      <c r="HJ10" s="99">
        <v>30.674716697936301</v>
      </c>
      <c r="HK10" s="99">
        <v>30.766263602251399</v>
      </c>
      <c r="HL10" s="99">
        <v>30.857810506566601</v>
      </c>
      <c r="HM10" s="99">
        <v>30.949357410881799</v>
      </c>
      <c r="HN10" s="99">
        <v>31.040904315197</v>
      </c>
      <c r="HO10" s="99">
        <v>31.132451219512198</v>
      </c>
      <c r="HP10" s="99">
        <v>31.2239981238274</v>
      </c>
      <c r="HQ10" s="99">
        <v>31.315545028142601</v>
      </c>
      <c r="HR10" s="99">
        <v>31.407091932457799</v>
      </c>
      <c r="HS10" s="99">
        <v>31.498638836773001</v>
      </c>
      <c r="HT10" s="99">
        <v>31.590185741088199</v>
      </c>
      <c r="HU10" s="99">
        <v>31.6817326454034</v>
      </c>
      <c r="HV10" s="99">
        <v>31.773279549718598</v>
      </c>
      <c r="HW10" s="99">
        <v>31.8648264540338</v>
      </c>
      <c r="HX10" s="99">
        <v>31.956373358349001</v>
      </c>
      <c r="HY10" s="99">
        <v>32.047920262664199</v>
      </c>
      <c r="HZ10" s="99">
        <v>32.139467166979401</v>
      </c>
      <c r="IA10" s="99">
        <v>32.231014071294602</v>
      </c>
      <c r="IB10" s="99">
        <v>32.322560975609797</v>
      </c>
      <c r="IC10" s="99">
        <v>32.414107879924998</v>
      </c>
      <c r="ID10" s="99">
        <v>32.5056547842402</v>
      </c>
      <c r="IE10" s="99">
        <v>32.597201688555401</v>
      </c>
      <c r="IF10" s="99">
        <v>32.688748592870603</v>
      </c>
      <c r="IG10" s="99">
        <v>32.780295497185797</v>
      </c>
      <c r="IH10" s="99">
        <v>32.871842401500999</v>
      </c>
      <c r="II10" s="99">
        <v>32.9633893058162</v>
      </c>
      <c r="IJ10" s="99">
        <v>33.054936210131402</v>
      </c>
      <c r="IK10" s="99">
        <v>33.146483114446603</v>
      </c>
      <c r="IL10" s="99">
        <v>33.238030018761798</v>
      </c>
      <c r="IM10" s="99">
        <v>33.329576923076999</v>
      </c>
      <c r="IN10" s="99">
        <v>33.421123827392201</v>
      </c>
      <c r="IO10" s="99">
        <v>33.512670731707402</v>
      </c>
      <c r="IP10" s="99">
        <v>33.604217636022597</v>
      </c>
      <c r="IQ10" s="99">
        <v>33.695764540337798</v>
      </c>
      <c r="IR10" s="99">
        <v>33.7873114446529</v>
      </c>
      <c r="IS10" s="99">
        <v>33.878858348968102</v>
      </c>
      <c r="IT10" s="99">
        <v>33.970405253283303</v>
      </c>
      <c r="IU10" s="99">
        <v>34.061952157598498</v>
      </c>
      <c r="IV10" s="99">
        <v>34.153499061913699</v>
      </c>
      <c r="IW10" s="99">
        <v>34.245045966228901</v>
      </c>
      <c r="IX10" s="99">
        <v>34.336592870544102</v>
      </c>
      <c r="IY10" s="99">
        <v>34.428139774859297</v>
      </c>
      <c r="IZ10" s="99">
        <v>34.519686679174498</v>
      </c>
      <c r="JA10" s="99">
        <v>34.6112335834897</v>
      </c>
      <c r="JB10" s="99">
        <v>34.702780487804901</v>
      </c>
      <c r="JC10" s="99">
        <v>34.794327392120103</v>
      </c>
      <c r="JD10" s="99">
        <v>34.885874296435297</v>
      </c>
      <c r="JE10" s="99">
        <v>34.977421200750499</v>
      </c>
      <c r="JF10" s="99">
        <v>35.0689681050657</v>
      </c>
      <c r="JG10" s="99">
        <v>35.160515009380902</v>
      </c>
      <c r="JH10" s="99">
        <v>35.252061913696103</v>
      </c>
      <c r="JI10" s="99">
        <v>35.343608818011298</v>
      </c>
      <c r="JJ10" s="99">
        <v>35.435155722326499</v>
      </c>
      <c r="JK10" s="99">
        <v>35.526702626641701</v>
      </c>
      <c r="JL10" s="99">
        <v>35.618249530956902</v>
      </c>
      <c r="JM10" s="99">
        <v>35.709796435272096</v>
      </c>
      <c r="JN10" s="99">
        <v>35.801343339587298</v>
      </c>
      <c r="JO10" s="99">
        <v>35.892890243902499</v>
      </c>
      <c r="JP10" s="99">
        <v>35.984437148217701</v>
      </c>
      <c r="JQ10" s="99">
        <v>36.075984052532903</v>
      </c>
      <c r="JR10" s="99">
        <v>36.167530956848097</v>
      </c>
      <c r="JS10" s="99">
        <v>36.259077861163298</v>
      </c>
      <c r="JT10" s="99">
        <v>36.3506247654785</v>
      </c>
      <c r="JU10" s="99">
        <v>36.442171669793701</v>
      </c>
      <c r="JV10" s="99">
        <v>36.533718574108903</v>
      </c>
      <c r="JW10" s="99">
        <v>36.625265478424097</v>
      </c>
      <c r="JX10" s="99">
        <v>36.716812382739299</v>
      </c>
      <c r="JY10" s="99">
        <v>36.8083592870545</v>
      </c>
      <c r="JZ10" s="99">
        <v>36.899906191369602</v>
      </c>
      <c r="KA10" s="99">
        <v>36.991453095684797</v>
      </c>
      <c r="KB10" s="99">
        <v>37.082999999999998</v>
      </c>
      <c r="KC10" s="99">
        <v>37.1745469043152</v>
      </c>
      <c r="KD10" s="99">
        <v>37.266093808630401</v>
      </c>
      <c r="KE10" s="99">
        <v>37.357640712945603</v>
      </c>
      <c r="KF10" s="99">
        <v>37.449187617260797</v>
      </c>
      <c r="KG10" s="99">
        <v>37.540734521575999</v>
      </c>
      <c r="KH10" s="99">
        <v>37.6322814258912</v>
      </c>
      <c r="KI10" s="99">
        <v>37.723828330206402</v>
      </c>
      <c r="KJ10" s="99">
        <v>37.815375234521603</v>
      </c>
      <c r="KK10" s="99">
        <v>37.906922138836798</v>
      </c>
      <c r="KL10" s="99">
        <v>37.998469043151999</v>
      </c>
      <c r="KM10" s="99">
        <v>38.090015947467201</v>
      </c>
      <c r="KN10" s="99">
        <v>38.181562851782402</v>
      </c>
      <c r="KO10" s="99">
        <v>38.273109756097597</v>
      </c>
      <c r="KP10" s="99">
        <v>38.364656660412798</v>
      </c>
      <c r="KQ10" s="99">
        <v>38.456203564728</v>
      </c>
      <c r="KR10" s="99">
        <v>38.547750469043201</v>
      </c>
      <c r="KS10" s="99">
        <v>38.639297373358403</v>
      </c>
      <c r="KT10" s="99">
        <v>38.730844277673597</v>
      </c>
      <c r="KU10" s="99">
        <v>38.822391181988799</v>
      </c>
      <c r="KV10" s="99">
        <v>38.913938086304</v>
      </c>
      <c r="KW10" s="99">
        <v>39.005484990619202</v>
      </c>
      <c r="KX10" s="99">
        <v>39.097031894934403</v>
      </c>
      <c r="KY10" s="99">
        <v>39.188578799249598</v>
      </c>
      <c r="KZ10" s="99">
        <v>39.280125703564799</v>
      </c>
      <c r="LA10" s="99">
        <v>39.371672607880001</v>
      </c>
      <c r="LB10" s="99">
        <v>39.463219512195202</v>
      </c>
      <c r="LC10" s="99">
        <v>39.554766416510397</v>
      </c>
      <c r="LD10" s="99">
        <v>39.646313320825598</v>
      </c>
      <c r="LE10" s="99">
        <v>39.7378602251408</v>
      </c>
      <c r="LF10" s="99">
        <v>39.829407129456001</v>
      </c>
      <c r="LG10" s="99">
        <v>39.920954033771103</v>
      </c>
      <c r="LH10" s="99">
        <v>40.012500938086298</v>
      </c>
      <c r="LI10" s="99">
        <v>40.104047842401499</v>
      </c>
      <c r="LJ10" s="99">
        <v>40.195594746716701</v>
      </c>
      <c r="LK10" s="99">
        <v>40.287141651031902</v>
      </c>
      <c r="LL10" s="99">
        <v>40.378688555347097</v>
      </c>
      <c r="LM10" s="99">
        <v>40.470235459662298</v>
      </c>
      <c r="LN10" s="99">
        <v>40.5617823639775</v>
      </c>
      <c r="LO10" s="99">
        <v>40.653329268292701</v>
      </c>
      <c r="LP10" s="99">
        <v>40.744876172607903</v>
      </c>
      <c r="LQ10" s="99">
        <v>40.836423076923097</v>
      </c>
      <c r="LR10" s="99">
        <v>40.927969981238299</v>
      </c>
      <c r="LS10" s="99">
        <v>41.0195168855535</v>
      </c>
      <c r="LT10" s="99">
        <v>41.111063789868702</v>
      </c>
      <c r="LU10" s="99">
        <v>41.202610694183903</v>
      </c>
      <c r="LV10" s="99">
        <v>41.294157598499098</v>
      </c>
      <c r="LW10" s="99">
        <v>41.385704502814299</v>
      </c>
      <c r="LX10" s="99">
        <v>41.477251407129501</v>
      </c>
      <c r="LY10" s="99">
        <v>41.568798311444702</v>
      </c>
      <c r="LZ10" s="99">
        <v>41.660345215759897</v>
      </c>
      <c r="MA10" s="99">
        <v>41.751892120075098</v>
      </c>
      <c r="MB10" s="99">
        <v>41.8434390243903</v>
      </c>
      <c r="MC10" s="99">
        <v>41.934985928705501</v>
      </c>
      <c r="MD10" s="99">
        <v>42.026532833020703</v>
      </c>
      <c r="ME10" s="99">
        <v>42.118079737335897</v>
      </c>
      <c r="MF10" s="99">
        <v>42.209626641651099</v>
      </c>
      <c r="MG10" s="99">
        <v>42.3011735459663</v>
      </c>
      <c r="MH10" s="99">
        <v>42.392720450281502</v>
      </c>
      <c r="MI10" s="99">
        <v>42.484267354596703</v>
      </c>
      <c r="MJ10" s="99">
        <v>42.575814258911898</v>
      </c>
      <c r="MK10" s="99">
        <v>42.667361163227099</v>
      </c>
      <c r="ML10" s="99">
        <v>42.758908067542301</v>
      </c>
      <c r="MM10" s="99">
        <v>42.850454971857502</v>
      </c>
      <c r="MN10" s="99">
        <v>42.942001876172597</v>
      </c>
      <c r="MO10" s="99">
        <v>43.033548780487799</v>
      </c>
      <c r="MP10" s="99">
        <v>43.125095684803</v>
      </c>
      <c r="MQ10" s="99">
        <v>43.216642589118202</v>
      </c>
      <c r="MR10" s="99">
        <v>43.308189493433403</v>
      </c>
      <c r="MS10" s="99">
        <v>43.399736397748597</v>
      </c>
      <c r="MT10" s="99">
        <v>43.491283302063799</v>
      </c>
      <c r="MU10" s="99">
        <v>43.582830206379001</v>
      </c>
      <c r="MV10" s="99">
        <v>43.674377110694202</v>
      </c>
      <c r="MW10" s="99">
        <v>43.765924015009404</v>
      </c>
      <c r="MX10" s="99">
        <v>43.857470919324598</v>
      </c>
      <c r="MY10" s="99">
        <v>43.949017823639799</v>
      </c>
      <c r="MZ10" s="99">
        <v>44.040564727955001</v>
      </c>
      <c r="NA10" s="99">
        <v>44.132111632270203</v>
      </c>
      <c r="NB10" s="99">
        <v>44.223658536585397</v>
      </c>
      <c r="NC10" s="99">
        <v>44.315205440900598</v>
      </c>
      <c r="ND10" s="99">
        <v>44.4067523452158</v>
      </c>
      <c r="NE10" s="99">
        <v>44.498299249531001</v>
      </c>
      <c r="NF10" s="99">
        <v>44.589846153846203</v>
      </c>
      <c r="NG10" s="99">
        <v>44.681393058161397</v>
      </c>
      <c r="NH10" s="99">
        <v>44.772939962476599</v>
      </c>
      <c r="NI10" s="99">
        <v>44.8644868667918</v>
      </c>
      <c r="NJ10" s="99">
        <v>44.956033771107002</v>
      </c>
      <c r="NK10" s="99">
        <v>45.047580675422203</v>
      </c>
      <c r="NL10" s="99">
        <v>45.139127579737398</v>
      </c>
      <c r="NM10" s="99">
        <v>45.230674484052599</v>
      </c>
      <c r="NN10" s="99">
        <v>45.322221388367801</v>
      </c>
      <c r="NO10" s="99">
        <v>45.413768292683002</v>
      </c>
      <c r="NP10" s="99">
        <v>45.505315196998197</v>
      </c>
      <c r="NQ10" s="99">
        <v>45.596862101313398</v>
      </c>
      <c r="NR10" s="99">
        <v>45.6884090056286</v>
      </c>
      <c r="NS10" s="99">
        <v>45.779955909943801</v>
      </c>
      <c r="NT10" s="99">
        <v>45.871502814259003</v>
      </c>
      <c r="NU10" s="99">
        <v>45.963049718574098</v>
      </c>
      <c r="NV10" s="99">
        <v>46.054596622889299</v>
      </c>
      <c r="NW10" s="99">
        <v>46.146143527204501</v>
      </c>
      <c r="NX10" s="99">
        <v>46.237690431519702</v>
      </c>
      <c r="NY10" s="99">
        <v>46.329237335834897</v>
      </c>
      <c r="NZ10" s="99">
        <v>46.420784240150098</v>
      </c>
      <c r="OA10" s="99">
        <v>46.5123311444653</v>
      </c>
      <c r="OB10" s="99">
        <v>46.603878048780501</v>
      </c>
      <c r="OC10" s="99">
        <v>46.695424953095703</v>
      </c>
      <c r="OD10" s="99">
        <v>46.786971857410897</v>
      </c>
      <c r="OE10" s="99">
        <v>46.878518761726099</v>
      </c>
      <c r="OF10" s="99">
        <v>46.9700656660413</v>
      </c>
      <c r="OG10" s="99">
        <v>47.061612570356502</v>
      </c>
      <c r="OH10" s="99">
        <v>47.153159474671703</v>
      </c>
      <c r="OI10" s="99">
        <v>47.244706378986898</v>
      </c>
      <c r="OJ10" s="99">
        <v>47.336253283302099</v>
      </c>
      <c r="OK10" s="99">
        <v>47.427800187617301</v>
      </c>
      <c r="OL10" s="99">
        <v>47.519347091932502</v>
      </c>
      <c r="OM10" s="99">
        <v>47.610893996247697</v>
      </c>
      <c r="ON10" s="99">
        <v>47.702440900562898</v>
      </c>
      <c r="OO10" s="99">
        <v>47.7939878048781</v>
      </c>
      <c r="OP10" s="99">
        <v>47.885534709193301</v>
      </c>
      <c r="OQ10" s="99">
        <v>47.977081613508503</v>
      </c>
      <c r="OR10" s="99">
        <v>48.068628517823697</v>
      </c>
      <c r="OS10" s="99">
        <v>48.160175422138899</v>
      </c>
      <c r="OT10" s="99">
        <v>48.2517223264541</v>
      </c>
      <c r="OU10" s="99">
        <v>48.343269230769302</v>
      </c>
      <c r="OV10" s="99">
        <v>48.434816135084503</v>
      </c>
      <c r="OW10" s="99">
        <v>48.526363039399698</v>
      </c>
      <c r="OX10" s="99">
        <v>48.617909943714899</v>
      </c>
      <c r="OY10" s="99">
        <v>48.709456848030101</v>
      </c>
      <c r="OZ10" s="99">
        <v>48.801003752345302</v>
      </c>
      <c r="PA10" s="99">
        <v>48.892550656660497</v>
      </c>
      <c r="PB10" s="99">
        <v>48.984097560975599</v>
      </c>
      <c r="PC10" s="99">
        <v>49.0756444652908</v>
      </c>
      <c r="PD10" s="99">
        <v>49.167191369606002</v>
      </c>
      <c r="PE10" s="99">
        <v>49.258738273921203</v>
      </c>
      <c r="PF10" s="99">
        <v>49.350285178236398</v>
      </c>
      <c r="PG10" s="99">
        <v>49.441832082551599</v>
      </c>
      <c r="PH10" s="99">
        <v>49.533378986866801</v>
      </c>
      <c r="PI10" s="99">
        <v>49.624925891182002</v>
      </c>
      <c r="PJ10" s="99">
        <v>49.716472795497197</v>
      </c>
      <c r="PK10" s="99">
        <v>49.808019699812398</v>
      </c>
      <c r="PL10" s="99">
        <v>49.8995666041276</v>
      </c>
      <c r="PM10" s="99">
        <v>49.991113508442801</v>
      </c>
      <c r="PN10" s="99">
        <v>50.082660412758003</v>
      </c>
      <c r="PO10" s="99">
        <v>50.174207317073197</v>
      </c>
      <c r="PP10" s="99">
        <v>50.265754221388399</v>
      </c>
      <c r="PQ10" s="99">
        <v>50.3573011257036</v>
      </c>
      <c r="PR10" s="99">
        <v>50.448848030018802</v>
      </c>
      <c r="PS10" s="99">
        <v>50.540394934334003</v>
      </c>
      <c r="PT10" s="99">
        <v>50.631941838649198</v>
      </c>
      <c r="PU10" s="99">
        <v>50.723488742964399</v>
      </c>
      <c r="PV10" s="99">
        <v>50.815035647279601</v>
      </c>
      <c r="PW10" s="99">
        <v>50.906582551594802</v>
      </c>
      <c r="PX10" s="99">
        <v>50.998129455909996</v>
      </c>
      <c r="PY10" s="99">
        <v>51.089676360225198</v>
      </c>
      <c r="PZ10" s="99">
        <v>51.181223264540399</v>
      </c>
      <c r="QA10" s="99">
        <v>51.272770168855601</v>
      </c>
      <c r="QB10" s="99">
        <v>51.364317073170803</v>
      </c>
      <c r="QC10" s="99">
        <v>51.455863977485997</v>
      </c>
      <c r="QD10" s="99">
        <v>51.547410881801198</v>
      </c>
      <c r="QE10" s="99">
        <v>51.6389577861164</v>
      </c>
      <c r="QF10" s="99">
        <v>51.730504690431601</v>
      </c>
      <c r="QG10" s="99">
        <v>51.822051594746803</v>
      </c>
      <c r="QH10" s="99">
        <v>51.913598499061997</v>
      </c>
      <c r="QI10" s="99">
        <v>52.005145403377099</v>
      </c>
      <c r="QJ10" s="99">
        <v>52.096692307692301</v>
      </c>
      <c r="QK10" s="99">
        <v>52.188239212007502</v>
      </c>
      <c r="QL10" s="99">
        <v>52.279786116322697</v>
      </c>
      <c r="QM10" s="99">
        <v>52.371333020637898</v>
      </c>
      <c r="QN10" s="99">
        <v>52.4628799249531</v>
      </c>
      <c r="QO10" s="99">
        <v>52.554426829268301</v>
      </c>
      <c r="QP10" s="99">
        <v>52.645973733583503</v>
      </c>
      <c r="QQ10" s="99">
        <v>52.737520637898697</v>
      </c>
      <c r="QR10" s="99">
        <v>52.829067542213899</v>
      </c>
      <c r="QS10" s="99">
        <v>52.9206144465291</v>
      </c>
      <c r="QT10" s="99">
        <v>53.012161350844302</v>
      </c>
      <c r="QU10" s="99">
        <v>53.103708255159503</v>
      </c>
      <c r="QV10" s="99">
        <v>53.195255159474698</v>
      </c>
      <c r="QW10" s="99">
        <v>53.286802063789899</v>
      </c>
      <c r="QX10" s="99">
        <v>53.378348968105101</v>
      </c>
      <c r="QY10" s="99">
        <v>53.469895872420302</v>
      </c>
      <c r="QZ10" s="99">
        <v>53.561442776735497</v>
      </c>
      <c r="RA10" s="99">
        <v>53.652989681050698</v>
      </c>
      <c r="RB10" s="99">
        <v>53.7445365853659</v>
      </c>
      <c r="RC10" s="99">
        <v>53.836083489681101</v>
      </c>
      <c r="RD10" s="99">
        <v>53.927630393996303</v>
      </c>
      <c r="RE10" s="99">
        <v>54.019177298311497</v>
      </c>
      <c r="RF10" s="99">
        <v>54.110724202626699</v>
      </c>
      <c r="RG10" s="99">
        <v>54.2022711069419</v>
      </c>
      <c r="RH10" s="99">
        <v>54.293818011257102</v>
      </c>
      <c r="RI10" s="99">
        <v>54.385364915572303</v>
      </c>
      <c r="RJ10" s="99">
        <v>54.476911819887498</v>
      </c>
      <c r="RK10" s="99">
        <v>54.568458724202699</v>
      </c>
      <c r="RL10" s="99">
        <v>54.660005628517901</v>
      </c>
      <c r="RM10" s="99">
        <v>54.751552532833102</v>
      </c>
      <c r="RN10" s="99">
        <v>54.843099437148297</v>
      </c>
      <c r="RO10" s="99">
        <v>54.934646341463498</v>
      </c>
      <c r="RP10" s="99">
        <v>55.0261932457786</v>
      </c>
      <c r="RQ10" s="99">
        <v>55.117740150093802</v>
      </c>
      <c r="RR10" s="99">
        <v>55.209287054409003</v>
      </c>
      <c r="RS10" s="99">
        <v>55.300833958724198</v>
      </c>
      <c r="RT10" s="99">
        <v>55.392380863039399</v>
      </c>
      <c r="RU10" s="99">
        <v>55.483927767354601</v>
      </c>
      <c r="RV10" s="99">
        <v>55.575474671669802</v>
      </c>
      <c r="RW10" s="99">
        <v>55.667021575984997</v>
      </c>
      <c r="RX10" s="99">
        <v>55.758568480300198</v>
      </c>
      <c r="RY10" s="99">
        <v>55.8501153846154</v>
      </c>
      <c r="RZ10" s="99">
        <v>55.941662288930601</v>
      </c>
      <c r="SA10" s="99">
        <v>56.033209193245803</v>
      </c>
      <c r="SB10" s="99">
        <v>56.124756097560997</v>
      </c>
      <c r="SC10" s="99">
        <v>56.216303001876199</v>
      </c>
      <c r="SD10" s="99">
        <v>56.3078499061914</v>
      </c>
      <c r="SE10" s="99">
        <v>56.399396810506602</v>
      </c>
      <c r="SF10" s="99">
        <v>56.490943714821803</v>
      </c>
      <c r="SG10" s="99">
        <v>56.582490619136998</v>
      </c>
      <c r="SH10" s="99">
        <v>56.674037523452199</v>
      </c>
      <c r="SI10" s="99">
        <v>56.765584427767401</v>
      </c>
      <c r="SJ10" s="99">
        <v>56.857131332082602</v>
      </c>
      <c r="SK10" s="99">
        <v>56.948678236397797</v>
      </c>
      <c r="SL10" s="99">
        <v>57.040225140712998</v>
      </c>
      <c r="SM10" s="99">
        <v>57.1317720450282</v>
      </c>
      <c r="SN10" s="99">
        <v>57.223318949343401</v>
      </c>
      <c r="SO10" s="99">
        <v>57.314865853658603</v>
      </c>
      <c r="SP10" s="99">
        <v>57.406412757973797</v>
      </c>
      <c r="SQ10" s="99">
        <v>57.497959662288999</v>
      </c>
      <c r="SR10" s="99">
        <v>57.5895065666042</v>
      </c>
      <c r="SS10" s="99">
        <v>57.681053470919402</v>
      </c>
      <c r="ST10" s="99">
        <v>57.772600375234603</v>
      </c>
      <c r="SU10" s="99">
        <v>57.864147279549798</v>
      </c>
      <c r="SV10" s="99">
        <v>57.955694183864999</v>
      </c>
      <c r="SW10" s="99">
        <v>58.047241088180201</v>
      </c>
      <c r="SX10" s="99">
        <v>58.138787992495303</v>
      </c>
      <c r="SY10" s="99">
        <v>58.230334896810497</v>
      </c>
      <c r="SZ10" s="99">
        <v>58.321881801125699</v>
      </c>
      <c r="TA10" s="99">
        <v>58.4134287054409</v>
      </c>
      <c r="TB10" s="99">
        <v>58.504975609756102</v>
      </c>
      <c r="TC10" s="99">
        <v>58.596522514071303</v>
      </c>
      <c r="TD10" s="99">
        <v>58.688069418386497</v>
      </c>
      <c r="TE10" s="99">
        <v>58.779616322701699</v>
      </c>
      <c r="TF10" s="99">
        <v>58.871163227016901</v>
      </c>
      <c r="TG10" s="99">
        <v>58.962710131332102</v>
      </c>
      <c r="TH10" s="99">
        <v>59.054257035647296</v>
      </c>
      <c r="TI10" s="99">
        <v>59.145803939962498</v>
      </c>
      <c r="TJ10" s="99">
        <v>59.237350844277699</v>
      </c>
      <c r="TK10" s="99">
        <v>59.328897748592901</v>
      </c>
      <c r="TL10" s="99">
        <v>59.420444652908103</v>
      </c>
      <c r="TM10" s="99">
        <v>59.511991557223297</v>
      </c>
      <c r="TN10" s="99">
        <v>59.603538461538498</v>
      </c>
      <c r="TO10" s="99">
        <v>59.6950853658537</v>
      </c>
      <c r="TP10" s="99">
        <v>59.786632270168901</v>
      </c>
      <c r="TQ10" s="99">
        <v>59.878179174484103</v>
      </c>
      <c r="TR10" s="99">
        <v>59.969726078799297</v>
      </c>
      <c r="TS10" s="99">
        <v>60.061272983114499</v>
      </c>
      <c r="TT10" s="99">
        <v>60.1528198874297</v>
      </c>
      <c r="TU10" s="99">
        <v>60.244366791744902</v>
      </c>
      <c r="TV10" s="99">
        <v>60.335913696060103</v>
      </c>
      <c r="TW10" s="99">
        <v>60.427460600375298</v>
      </c>
      <c r="TX10" s="99">
        <v>60.519007504690499</v>
      </c>
      <c r="TY10" s="99">
        <v>60.610554409005701</v>
      </c>
      <c r="TZ10" s="99">
        <v>60.702101313320902</v>
      </c>
      <c r="UA10" s="99">
        <v>60.793648217636097</v>
      </c>
      <c r="UB10" s="99">
        <v>60.885195121951298</v>
      </c>
      <c r="UC10" s="99">
        <v>60.9767420262665</v>
      </c>
      <c r="UD10" s="99">
        <v>61.068288930581701</v>
      </c>
      <c r="UE10" s="99">
        <v>61.159835834896803</v>
      </c>
      <c r="UF10" s="99">
        <v>61.251382739211998</v>
      </c>
      <c r="UG10" s="99">
        <v>61.342929643527199</v>
      </c>
      <c r="UH10" s="99">
        <v>61.434476547842401</v>
      </c>
      <c r="UI10" s="99">
        <v>61.526023452157602</v>
      </c>
      <c r="UJ10" s="99">
        <v>61.617570356472797</v>
      </c>
      <c r="UK10" s="99">
        <v>61.709117260787998</v>
      </c>
      <c r="UL10" s="99">
        <v>61.8006641651032</v>
      </c>
      <c r="UM10" s="99">
        <v>61.892211069418401</v>
      </c>
      <c r="UN10" s="99">
        <v>61.983757973733603</v>
      </c>
      <c r="UO10" s="99">
        <v>62.075304878048797</v>
      </c>
      <c r="UP10" s="99">
        <v>62.166851782363999</v>
      </c>
      <c r="UQ10" s="99">
        <v>62.2583986866792</v>
      </c>
      <c r="UR10" s="99">
        <v>62.349945590994402</v>
      </c>
      <c r="US10" s="99">
        <v>62.441492495309603</v>
      </c>
      <c r="UT10" s="99">
        <v>62.533039399624798</v>
      </c>
    </row>
    <row r="11" spans="1:566" x14ac:dyDescent="0.2">
      <c r="A11" s="89">
        <v>2.5</v>
      </c>
      <c r="B11" s="90">
        <v>10.75</v>
      </c>
      <c r="C11" s="90">
        <v>10.84</v>
      </c>
      <c r="D11" s="90">
        <v>10.93</v>
      </c>
      <c r="E11" s="90">
        <v>11.02</v>
      </c>
      <c r="F11" s="90">
        <v>11.11</v>
      </c>
      <c r="G11" s="90">
        <v>11.2</v>
      </c>
      <c r="H11" s="90">
        <v>11.29</v>
      </c>
      <c r="I11" s="90">
        <v>11.39</v>
      </c>
      <c r="J11" s="90">
        <v>11.48</v>
      </c>
      <c r="K11" s="90">
        <v>11.57</v>
      </c>
      <c r="L11" s="90">
        <v>11.66</v>
      </c>
      <c r="M11" s="90">
        <v>11.75</v>
      </c>
      <c r="N11" s="90">
        <v>11.84</v>
      </c>
      <c r="O11" s="90">
        <v>11.93</v>
      </c>
      <c r="P11" s="90">
        <v>12.02</v>
      </c>
      <c r="Q11" s="90">
        <v>12.11</v>
      </c>
      <c r="R11" s="90">
        <v>12.2</v>
      </c>
      <c r="S11" s="90">
        <v>12.29</v>
      </c>
      <c r="T11" s="90">
        <v>12.38</v>
      </c>
      <c r="U11" s="91">
        <v>12.47</v>
      </c>
      <c r="V11" s="90">
        <v>12.56</v>
      </c>
      <c r="W11" s="90">
        <v>12.65</v>
      </c>
      <c r="X11" s="90">
        <v>12.74</v>
      </c>
      <c r="Y11" s="90">
        <v>12.83</v>
      </c>
      <c r="Z11" s="90">
        <v>12.92</v>
      </c>
      <c r="AA11" s="90">
        <v>13.01</v>
      </c>
      <c r="AB11" s="90">
        <v>13.1</v>
      </c>
      <c r="AC11" s="90">
        <v>13.19</v>
      </c>
      <c r="AD11" s="90">
        <v>13.28</v>
      </c>
      <c r="AE11" s="90">
        <v>13.37</v>
      </c>
      <c r="AF11" s="90">
        <v>13.46</v>
      </c>
      <c r="AG11" s="90">
        <v>13.55</v>
      </c>
      <c r="AH11" s="90">
        <v>13.64</v>
      </c>
      <c r="AI11" s="90">
        <v>13.73</v>
      </c>
      <c r="AJ11" s="90">
        <v>13.82</v>
      </c>
      <c r="AK11" s="90">
        <v>13.91</v>
      </c>
      <c r="AL11" s="90">
        <v>14</v>
      </c>
      <c r="AM11" s="90">
        <v>14.1</v>
      </c>
      <c r="AN11" s="90">
        <v>14.19</v>
      </c>
      <c r="AO11" s="91">
        <v>14.28</v>
      </c>
      <c r="AP11" s="90">
        <v>14.365576923076899</v>
      </c>
      <c r="AQ11" s="90">
        <v>14.4558977485929</v>
      </c>
      <c r="AR11" s="90">
        <v>14.546218574108799</v>
      </c>
      <c r="AS11" s="90">
        <v>14.6365393996248</v>
      </c>
      <c r="AT11" s="90">
        <v>14.726860225140699</v>
      </c>
      <c r="AU11" s="90">
        <v>14.8171810506567</v>
      </c>
      <c r="AV11" s="90">
        <v>14.907501876172599</v>
      </c>
      <c r="AW11" s="90">
        <v>14.9978227016886</v>
      </c>
      <c r="AX11" s="90">
        <v>15.088143527204499</v>
      </c>
      <c r="AY11" s="90">
        <v>15.1784643527205</v>
      </c>
      <c r="AZ11" s="90">
        <v>15.268785178236399</v>
      </c>
      <c r="BA11" s="90">
        <v>15.3591060037523</v>
      </c>
      <c r="BB11" s="90">
        <v>15.449426829268299</v>
      </c>
      <c r="BC11" s="90">
        <v>15.5397476547842</v>
      </c>
      <c r="BD11" s="90">
        <v>15.630068480300199</v>
      </c>
      <c r="BE11" s="90">
        <v>15.7203893058161</v>
      </c>
      <c r="BF11" s="90">
        <v>15.810710131332099</v>
      </c>
      <c r="BG11" s="90">
        <v>15.901030956848</v>
      </c>
      <c r="BH11" s="90">
        <v>15.991351782363999</v>
      </c>
      <c r="BI11" s="91">
        <v>16.081672607879899</v>
      </c>
      <c r="BJ11" s="90">
        <v>16.171993433395901</v>
      </c>
      <c r="BK11" s="99">
        <v>16.2623142589118</v>
      </c>
      <c r="BL11" s="99">
        <v>16.352635084427799</v>
      </c>
      <c r="BM11" s="99">
        <v>16.442955909943699</v>
      </c>
      <c r="BN11" s="99">
        <v>16.533276735459701</v>
      </c>
      <c r="BO11" s="99">
        <v>16.6235975609756</v>
      </c>
      <c r="BP11" s="99">
        <v>16.713918386491599</v>
      </c>
      <c r="BQ11" s="99">
        <v>16.804239212007499</v>
      </c>
      <c r="BR11" s="99">
        <v>16.894560037523501</v>
      </c>
      <c r="BS11" s="99">
        <v>16.9848808630394</v>
      </c>
      <c r="BT11" s="99">
        <v>17.0752016885553</v>
      </c>
      <c r="BU11" s="99">
        <v>17.165522514071299</v>
      </c>
      <c r="BV11" s="99">
        <v>17.255843339587202</v>
      </c>
      <c r="BW11" s="99">
        <v>17.3461641651032</v>
      </c>
      <c r="BX11" s="99">
        <v>17.4364849906191</v>
      </c>
      <c r="BY11" s="99">
        <v>17.526805816135099</v>
      </c>
      <c r="BZ11" s="99">
        <v>17.617126641651002</v>
      </c>
      <c r="CA11" s="99">
        <v>17.707447467167</v>
      </c>
      <c r="CB11" s="99">
        <v>17.7977682926829</v>
      </c>
      <c r="CC11" s="99">
        <v>17.888089118198899</v>
      </c>
      <c r="CD11" s="99">
        <v>17.978409943714801</v>
      </c>
      <c r="CE11" s="99">
        <v>18.0687307692308</v>
      </c>
      <c r="CF11" s="99">
        <v>18.1590515947467</v>
      </c>
      <c r="CG11" s="99">
        <v>18.249372420262699</v>
      </c>
      <c r="CH11" s="99">
        <v>18.339693245778601</v>
      </c>
      <c r="CI11" s="99">
        <v>18.4300140712946</v>
      </c>
      <c r="CJ11" s="99">
        <v>18.5203348968105</v>
      </c>
      <c r="CK11" s="99">
        <v>18.610655722326499</v>
      </c>
      <c r="CL11" s="99">
        <v>18.700976547842401</v>
      </c>
      <c r="CM11" s="99">
        <v>18.791297373358301</v>
      </c>
      <c r="CN11" s="99">
        <v>18.8816181988743</v>
      </c>
      <c r="CO11" s="99">
        <v>18.971939024390199</v>
      </c>
      <c r="CP11" s="99">
        <v>19.062259849906201</v>
      </c>
      <c r="CQ11" s="99">
        <v>19.152580675422101</v>
      </c>
      <c r="CR11" s="99">
        <v>19.2429015009381</v>
      </c>
      <c r="CS11" s="99">
        <v>19.333222326453999</v>
      </c>
      <c r="CT11" s="99">
        <v>19.423543151970001</v>
      </c>
      <c r="CU11" s="99">
        <v>19.513863977485901</v>
      </c>
      <c r="CV11" s="99">
        <v>19.6041848030019</v>
      </c>
      <c r="CW11" s="99">
        <v>19.694505628517799</v>
      </c>
      <c r="CX11" s="99">
        <v>19.784826454033801</v>
      </c>
      <c r="CY11" s="99">
        <v>19.875147279549701</v>
      </c>
      <c r="CZ11" s="99">
        <v>19.9654681050657</v>
      </c>
      <c r="DA11" s="99">
        <v>20.055788930581599</v>
      </c>
      <c r="DB11" s="99">
        <v>20.146109756097601</v>
      </c>
      <c r="DC11" s="99">
        <v>20.236430581613501</v>
      </c>
      <c r="DD11" s="99">
        <v>20.3267514071295</v>
      </c>
      <c r="DE11" s="99">
        <v>20.417072232645399</v>
      </c>
      <c r="DF11" s="99">
        <v>20.507393058161401</v>
      </c>
      <c r="DG11" s="99">
        <v>20.597713883677301</v>
      </c>
      <c r="DH11" s="99">
        <v>20.6880347091932</v>
      </c>
      <c r="DI11" s="99">
        <v>20.778355534709199</v>
      </c>
      <c r="DJ11" s="99">
        <v>20.868676360225098</v>
      </c>
      <c r="DK11" s="99">
        <v>20.958997185741101</v>
      </c>
      <c r="DL11" s="99">
        <v>21.049318011257</v>
      </c>
      <c r="DM11" s="99">
        <v>21.139638836772999</v>
      </c>
      <c r="DN11" s="99">
        <v>21.229959662288898</v>
      </c>
      <c r="DO11" s="99">
        <v>21.320280487804901</v>
      </c>
      <c r="DP11" s="99">
        <v>21.4106013133208</v>
      </c>
      <c r="DQ11" s="99">
        <v>21.5009221388367</v>
      </c>
      <c r="DR11" s="99">
        <v>21.591242964352698</v>
      </c>
      <c r="DS11" s="99">
        <v>21.681563789868601</v>
      </c>
      <c r="DT11" s="99">
        <v>21.7718846153846</v>
      </c>
      <c r="DU11" s="99">
        <v>21.8622054409005</v>
      </c>
      <c r="DV11" s="99">
        <v>21.952526266416498</v>
      </c>
      <c r="DW11" s="99">
        <v>22.042847091932401</v>
      </c>
      <c r="DX11" s="99">
        <v>22.1331679174484</v>
      </c>
      <c r="DY11" s="99">
        <v>22.2234887429643</v>
      </c>
      <c r="DZ11" s="99">
        <v>22.313809568480298</v>
      </c>
      <c r="EA11" s="99">
        <v>22.404130393996201</v>
      </c>
      <c r="EB11" s="99">
        <v>22.4944512195122</v>
      </c>
      <c r="EC11" s="99">
        <v>22.5847720450281</v>
      </c>
      <c r="ED11" s="99">
        <v>22.675092870544098</v>
      </c>
      <c r="EE11" s="99">
        <v>22.765413696060001</v>
      </c>
      <c r="EF11" s="99">
        <v>22.855734521576</v>
      </c>
      <c r="EG11" s="99">
        <v>22.9460553470919</v>
      </c>
      <c r="EH11" s="99">
        <v>23.036376172607898</v>
      </c>
      <c r="EI11" s="99">
        <v>23.126696998123801</v>
      </c>
      <c r="EJ11" s="99">
        <v>23.217017823639701</v>
      </c>
      <c r="EK11" s="99">
        <v>23.3073386491557</v>
      </c>
      <c r="EL11" s="99">
        <v>23.397659474671599</v>
      </c>
      <c r="EM11" s="99">
        <v>23.487980300187601</v>
      </c>
      <c r="EN11" s="99">
        <v>23.578301125703501</v>
      </c>
      <c r="EO11" s="99">
        <v>23.6686219512195</v>
      </c>
      <c r="EP11" s="99">
        <v>23.758942776735399</v>
      </c>
      <c r="EQ11" s="99">
        <v>23.849263602251401</v>
      </c>
      <c r="ER11" s="99">
        <v>23.939584427767301</v>
      </c>
      <c r="ES11" s="99">
        <v>24.0299052532833</v>
      </c>
      <c r="ET11" s="99">
        <v>24.120226078799199</v>
      </c>
      <c r="EU11" s="99">
        <v>24.210546904315201</v>
      </c>
      <c r="EV11" s="99">
        <v>24.300867729831101</v>
      </c>
      <c r="EW11" s="99">
        <v>24.3911885553471</v>
      </c>
      <c r="EX11" s="99">
        <v>24.481509380862999</v>
      </c>
      <c r="EY11" s="99">
        <v>24.571830206379001</v>
      </c>
      <c r="EZ11" s="99">
        <v>24.662151031894901</v>
      </c>
      <c r="FA11" s="99">
        <v>24.7524718574109</v>
      </c>
      <c r="FB11" s="99">
        <v>24.842792682926799</v>
      </c>
      <c r="FC11" s="99">
        <v>24.933113508442801</v>
      </c>
      <c r="FD11" s="99">
        <v>25.023434333958701</v>
      </c>
      <c r="FE11" s="99">
        <v>25.1137551594746</v>
      </c>
      <c r="FF11" s="99">
        <v>25.204075984990599</v>
      </c>
      <c r="FG11" s="99">
        <v>25.294396810506498</v>
      </c>
      <c r="FH11" s="99">
        <v>25.384717636022501</v>
      </c>
      <c r="FI11" s="99">
        <v>25.4750384615384</v>
      </c>
      <c r="FJ11" s="99">
        <v>25.565359287054399</v>
      </c>
      <c r="FK11" s="99">
        <v>25.655680112570298</v>
      </c>
      <c r="FL11" s="99">
        <v>25.746000938086301</v>
      </c>
      <c r="FM11" s="99">
        <v>25.8363217636022</v>
      </c>
      <c r="FN11" s="99">
        <v>25.926642589118199</v>
      </c>
      <c r="FO11" s="99">
        <v>26.016963414634098</v>
      </c>
      <c r="FP11" s="99">
        <v>26.107284240150101</v>
      </c>
      <c r="FQ11" s="99">
        <v>26.197605065666</v>
      </c>
      <c r="FR11" s="99">
        <v>26.287925891181999</v>
      </c>
      <c r="FS11" s="99">
        <v>26.378246716697902</v>
      </c>
      <c r="FT11" s="99">
        <v>26.468567542213901</v>
      </c>
      <c r="FU11" s="99">
        <v>26.5588883677298</v>
      </c>
      <c r="FV11" s="99">
        <v>26.649209193245799</v>
      </c>
      <c r="FW11" s="99">
        <v>26.739530018761702</v>
      </c>
      <c r="FX11" s="99">
        <v>26.829850844277601</v>
      </c>
      <c r="FY11" s="99">
        <v>26.9201716697936</v>
      </c>
      <c r="FZ11" s="99">
        <v>27.010492495309499</v>
      </c>
      <c r="GA11" s="99">
        <v>27.100813320825502</v>
      </c>
      <c r="GB11" s="99">
        <v>27.191134146341401</v>
      </c>
      <c r="GC11" s="99">
        <v>27.2814549718574</v>
      </c>
      <c r="GD11" s="99">
        <v>27.371775797373299</v>
      </c>
      <c r="GE11" s="99">
        <v>27.462096622889302</v>
      </c>
      <c r="GF11" s="99">
        <v>27.552417448405201</v>
      </c>
      <c r="GG11" s="99">
        <v>27.6427382739212</v>
      </c>
      <c r="GH11" s="99">
        <v>27.733059099437099</v>
      </c>
      <c r="GI11" s="99">
        <v>27.823379924953102</v>
      </c>
      <c r="GJ11" s="99">
        <v>27.913700750469001</v>
      </c>
      <c r="GK11" s="99">
        <v>28.004021575985</v>
      </c>
      <c r="GL11" s="99">
        <v>28.094342401500899</v>
      </c>
      <c r="GM11" s="99">
        <v>28.184663227016902</v>
      </c>
      <c r="GN11" s="99">
        <v>28.274984052532801</v>
      </c>
      <c r="GO11" s="99">
        <v>28.3653048780488</v>
      </c>
      <c r="GP11" s="99">
        <v>28.455625703564699</v>
      </c>
      <c r="GQ11" s="99">
        <v>28.545946529080599</v>
      </c>
      <c r="GR11" s="99">
        <v>28.636267354596601</v>
      </c>
      <c r="GS11" s="99">
        <v>28.7265881801125</v>
      </c>
      <c r="GT11" s="99">
        <v>28.816909005628499</v>
      </c>
      <c r="GU11" s="99">
        <v>28.907229831144399</v>
      </c>
      <c r="GV11" s="99">
        <v>28.997550656660401</v>
      </c>
      <c r="GW11" s="99">
        <v>29.0878714821763</v>
      </c>
      <c r="GX11" s="99">
        <v>29.178192307692299</v>
      </c>
      <c r="GY11" s="99">
        <v>29.268513133208199</v>
      </c>
      <c r="GZ11" s="99">
        <v>29.358833958724201</v>
      </c>
      <c r="HA11" s="99">
        <v>29.4491547842401</v>
      </c>
      <c r="HB11" s="99">
        <v>29.539475609756099</v>
      </c>
      <c r="HC11" s="99">
        <v>29.629796435271999</v>
      </c>
      <c r="HD11" s="99">
        <v>29.720117260788001</v>
      </c>
      <c r="HE11" s="99">
        <v>29.8104380863039</v>
      </c>
      <c r="HF11" s="99">
        <v>29.900758911819899</v>
      </c>
      <c r="HG11" s="99">
        <v>29.991079737335799</v>
      </c>
      <c r="HH11" s="99">
        <v>30.081400562851801</v>
      </c>
      <c r="HI11" s="99">
        <v>30.1717213883677</v>
      </c>
      <c r="HJ11" s="99">
        <v>30.262042213883699</v>
      </c>
      <c r="HK11" s="99">
        <v>30.352363039399599</v>
      </c>
      <c r="HL11" s="99">
        <v>30.442683864915502</v>
      </c>
      <c r="HM11" s="99">
        <v>30.5330046904315</v>
      </c>
      <c r="HN11" s="99">
        <v>30.6233255159474</v>
      </c>
      <c r="HO11" s="99">
        <v>30.713646341463399</v>
      </c>
      <c r="HP11" s="99">
        <v>30.803967166979302</v>
      </c>
      <c r="HQ11" s="99">
        <v>30.8942879924953</v>
      </c>
      <c r="HR11" s="99">
        <v>30.9846088180112</v>
      </c>
      <c r="HS11" s="99">
        <v>31.074929643527199</v>
      </c>
      <c r="HT11" s="99">
        <v>31.165250469043102</v>
      </c>
      <c r="HU11" s="99">
        <v>31.2555712945591</v>
      </c>
      <c r="HV11" s="99">
        <v>31.345892120075</v>
      </c>
      <c r="HW11" s="99">
        <v>31.436212945590999</v>
      </c>
      <c r="HX11" s="99">
        <v>31.526533771106902</v>
      </c>
      <c r="HY11" s="99">
        <v>31.6168545966229</v>
      </c>
      <c r="HZ11" s="99">
        <v>31.7071754221388</v>
      </c>
      <c r="IA11" s="99">
        <v>31.797496247654799</v>
      </c>
      <c r="IB11" s="99">
        <v>31.887817073170702</v>
      </c>
      <c r="IC11" s="99">
        <v>31.9781378986867</v>
      </c>
      <c r="ID11" s="99">
        <v>32.0684587242026</v>
      </c>
      <c r="IE11" s="99">
        <v>32.158779549718503</v>
      </c>
      <c r="IF11" s="99">
        <v>32.249100375234498</v>
      </c>
      <c r="IG11" s="99">
        <v>32.339421200750401</v>
      </c>
      <c r="IH11" s="99">
        <v>32.429742026266403</v>
      </c>
      <c r="II11" s="99">
        <v>32.520062851782299</v>
      </c>
      <c r="IJ11" s="99">
        <v>32.610383677298302</v>
      </c>
      <c r="IK11" s="99">
        <v>32.700704502814197</v>
      </c>
      <c r="IL11" s="99">
        <v>32.7910253283302</v>
      </c>
      <c r="IM11" s="99">
        <v>32.881346153846103</v>
      </c>
      <c r="IN11" s="99">
        <v>32.971666979362098</v>
      </c>
      <c r="IO11" s="99">
        <v>33.061987804878001</v>
      </c>
      <c r="IP11" s="99">
        <v>33.152308630394003</v>
      </c>
      <c r="IQ11" s="99">
        <v>33.242629455909899</v>
      </c>
      <c r="IR11" s="99">
        <v>33.332950281425902</v>
      </c>
      <c r="IS11" s="99">
        <v>33.423271106941797</v>
      </c>
      <c r="IT11" s="99">
        <v>33.5135919324578</v>
      </c>
      <c r="IU11" s="99">
        <v>33.603912757973703</v>
      </c>
      <c r="IV11" s="99">
        <v>33.694233583489698</v>
      </c>
      <c r="IW11" s="99">
        <v>33.784554409005601</v>
      </c>
      <c r="IX11" s="99">
        <v>33.874875234521497</v>
      </c>
      <c r="IY11" s="99">
        <v>33.965196060037499</v>
      </c>
      <c r="IZ11" s="99">
        <v>34.055516885553402</v>
      </c>
      <c r="JA11" s="99">
        <v>34.145837711069397</v>
      </c>
      <c r="JB11" s="99">
        <v>34.2361585365853</v>
      </c>
      <c r="JC11" s="99">
        <v>34.326479362101303</v>
      </c>
      <c r="JD11" s="99">
        <v>34.416800187617199</v>
      </c>
      <c r="JE11" s="99">
        <v>34.507121013133201</v>
      </c>
      <c r="JF11" s="99">
        <v>34.597441838649097</v>
      </c>
      <c r="JG11" s="99">
        <v>34.687762664165099</v>
      </c>
      <c r="JH11" s="99">
        <v>34.778083489681002</v>
      </c>
      <c r="JI11" s="99">
        <v>34.868404315196997</v>
      </c>
      <c r="JJ11" s="99">
        <v>34.9587251407129</v>
      </c>
      <c r="JK11" s="99">
        <v>35.049045966228903</v>
      </c>
      <c r="JL11" s="99">
        <v>35.139366791744798</v>
      </c>
      <c r="JM11" s="99">
        <v>35.229687617260801</v>
      </c>
      <c r="JN11" s="99">
        <v>35.320008442776697</v>
      </c>
      <c r="JO11" s="99">
        <v>35.410329268292699</v>
      </c>
      <c r="JP11" s="99">
        <v>35.500650093808602</v>
      </c>
      <c r="JQ11" s="99">
        <v>35.590970919324597</v>
      </c>
      <c r="JR11" s="99">
        <v>35.6812917448405</v>
      </c>
      <c r="JS11" s="99">
        <v>35.771612570356403</v>
      </c>
      <c r="JT11" s="99">
        <v>35.861933395872398</v>
      </c>
      <c r="JU11" s="99">
        <v>35.952254221388301</v>
      </c>
      <c r="JV11" s="99">
        <v>36.042575046904297</v>
      </c>
      <c r="JW11" s="99">
        <v>36.1328958724202</v>
      </c>
      <c r="JX11" s="99">
        <v>36.223216697936202</v>
      </c>
      <c r="JY11" s="99">
        <v>36.313537523452098</v>
      </c>
      <c r="JZ11" s="99">
        <v>36.4038583489681</v>
      </c>
      <c r="KA11" s="99">
        <v>36.494179174484003</v>
      </c>
      <c r="KB11" s="99">
        <v>36.584499999999998</v>
      </c>
      <c r="KC11" s="99">
        <v>36.674820825515901</v>
      </c>
      <c r="KD11" s="99">
        <v>36.765141651031897</v>
      </c>
      <c r="KE11" s="99">
        <v>36.8554624765478</v>
      </c>
      <c r="KF11" s="99">
        <v>36.945783302063802</v>
      </c>
      <c r="KG11" s="99">
        <v>37.036104127579698</v>
      </c>
      <c r="KH11" s="99">
        <v>37.1264249530957</v>
      </c>
      <c r="KI11" s="99">
        <v>37.216745778611603</v>
      </c>
      <c r="KJ11" s="99">
        <v>37.307066604127598</v>
      </c>
      <c r="KK11" s="99">
        <v>37.397387429643501</v>
      </c>
      <c r="KL11" s="99">
        <v>37.487708255159397</v>
      </c>
      <c r="KM11" s="99">
        <v>37.5780290806754</v>
      </c>
      <c r="KN11" s="99">
        <v>37.668349906191303</v>
      </c>
      <c r="KO11" s="99">
        <v>37.758670731707298</v>
      </c>
      <c r="KP11" s="99">
        <v>37.848991557223201</v>
      </c>
      <c r="KQ11" s="99">
        <v>37.939312382739203</v>
      </c>
      <c r="KR11" s="99">
        <v>38.029633208255099</v>
      </c>
      <c r="KS11" s="99">
        <v>38.119954033771101</v>
      </c>
      <c r="KT11" s="99">
        <v>38.210274859286997</v>
      </c>
      <c r="KU11" s="99">
        <v>38.300595684803</v>
      </c>
      <c r="KV11" s="99">
        <v>38.390916510318903</v>
      </c>
      <c r="KW11" s="99">
        <v>38.481237335834898</v>
      </c>
      <c r="KX11" s="99">
        <v>38.571558161350801</v>
      </c>
      <c r="KY11" s="99">
        <v>38.661878986866803</v>
      </c>
      <c r="KZ11" s="99">
        <v>38.752199812382699</v>
      </c>
      <c r="LA11" s="99">
        <v>38.842520637898701</v>
      </c>
      <c r="LB11" s="99">
        <v>38.932841463414597</v>
      </c>
      <c r="LC11" s="99">
        <v>39.0231622889306</v>
      </c>
      <c r="LD11" s="99">
        <v>39.113483114446502</v>
      </c>
      <c r="LE11" s="99">
        <v>39.203803939962498</v>
      </c>
      <c r="LF11" s="99">
        <v>39.294124765478401</v>
      </c>
      <c r="LG11" s="99">
        <v>39.384445590994297</v>
      </c>
      <c r="LH11" s="99">
        <v>39.474766416510299</v>
      </c>
      <c r="LI11" s="99">
        <v>39.565087242026202</v>
      </c>
      <c r="LJ11" s="99">
        <v>39.655408067542197</v>
      </c>
      <c r="LK11" s="99">
        <v>39.7457288930581</v>
      </c>
      <c r="LL11" s="99">
        <v>39.836049718574102</v>
      </c>
      <c r="LM11" s="99">
        <v>39.926370544089998</v>
      </c>
      <c r="LN11" s="99">
        <v>40.016691369606001</v>
      </c>
      <c r="LO11" s="99">
        <v>40.107012195121897</v>
      </c>
      <c r="LP11" s="99">
        <v>40.197333020637899</v>
      </c>
      <c r="LQ11" s="99">
        <v>40.287653846153802</v>
      </c>
      <c r="LR11" s="99">
        <v>40.377974671669797</v>
      </c>
      <c r="LS11" s="99">
        <v>40.4682954971857</v>
      </c>
      <c r="LT11" s="99">
        <v>40.558616322701702</v>
      </c>
      <c r="LU11" s="99">
        <v>40.648937148217598</v>
      </c>
      <c r="LV11" s="99">
        <v>40.739257973733601</v>
      </c>
      <c r="LW11" s="99">
        <v>40.829578799249497</v>
      </c>
      <c r="LX11" s="99">
        <v>40.919899624765499</v>
      </c>
      <c r="LY11" s="99">
        <v>41.010220450281402</v>
      </c>
      <c r="LZ11" s="99">
        <v>41.100541275797298</v>
      </c>
      <c r="MA11" s="99">
        <v>41.1908621013133</v>
      </c>
      <c r="MB11" s="99">
        <v>41.281182926829203</v>
      </c>
      <c r="MC11" s="99">
        <v>41.371503752345198</v>
      </c>
      <c r="MD11" s="99">
        <v>41.461824577861101</v>
      </c>
      <c r="ME11" s="99">
        <v>41.552145403377096</v>
      </c>
      <c r="MF11" s="99">
        <v>41.642466228892999</v>
      </c>
      <c r="MG11" s="99">
        <v>41.732787054409002</v>
      </c>
      <c r="MH11" s="99">
        <v>41.823107879924898</v>
      </c>
      <c r="MI11" s="99">
        <v>41.9134287054409</v>
      </c>
      <c r="MJ11" s="99">
        <v>42.003749530956803</v>
      </c>
      <c r="MK11" s="99">
        <v>42.094070356472798</v>
      </c>
      <c r="ML11" s="99">
        <v>42.184391181988701</v>
      </c>
      <c r="MM11" s="99">
        <v>42.274712007504696</v>
      </c>
      <c r="MN11" s="99">
        <v>42.365032833020599</v>
      </c>
      <c r="MO11" s="99">
        <v>42.455353658536602</v>
      </c>
      <c r="MP11" s="99">
        <v>42.545674484052498</v>
      </c>
      <c r="MQ11" s="99">
        <v>42.6359953095685</v>
      </c>
      <c r="MR11" s="99">
        <v>42.726316135084403</v>
      </c>
      <c r="MS11" s="99">
        <v>42.816636960600299</v>
      </c>
      <c r="MT11" s="99">
        <v>42.906957786116301</v>
      </c>
      <c r="MU11" s="99">
        <v>42.997278611632197</v>
      </c>
      <c r="MV11" s="99">
        <v>43.087599437148199</v>
      </c>
      <c r="MW11" s="99">
        <v>43.177920262664102</v>
      </c>
      <c r="MX11" s="99">
        <v>43.268241088180098</v>
      </c>
      <c r="MY11" s="99">
        <v>43.358561913696001</v>
      </c>
      <c r="MZ11" s="99">
        <v>43.448882739212003</v>
      </c>
      <c r="NA11" s="99">
        <v>43.539203564727899</v>
      </c>
      <c r="NB11" s="99">
        <v>43.629524390243901</v>
      </c>
      <c r="NC11" s="99">
        <v>43.719845215759797</v>
      </c>
      <c r="ND11" s="99">
        <v>43.810166041275799</v>
      </c>
      <c r="NE11" s="99">
        <v>43.900486866791702</v>
      </c>
      <c r="NF11" s="99">
        <v>43.990807692307698</v>
      </c>
      <c r="NG11" s="99">
        <v>44.081128517823601</v>
      </c>
      <c r="NH11" s="99">
        <v>44.171449343339603</v>
      </c>
      <c r="NI11" s="99">
        <v>44.261770168855499</v>
      </c>
      <c r="NJ11" s="99">
        <v>44.352090994371501</v>
      </c>
      <c r="NK11" s="99">
        <v>44.442411819887397</v>
      </c>
      <c r="NL11" s="99">
        <v>44.5327326454033</v>
      </c>
      <c r="NM11" s="99">
        <v>44.623053470919302</v>
      </c>
      <c r="NN11" s="99">
        <v>44.713374296435198</v>
      </c>
      <c r="NO11" s="99">
        <v>44.803695121951201</v>
      </c>
      <c r="NP11" s="99">
        <v>44.894015947467103</v>
      </c>
      <c r="NQ11" s="99">
        <v>44.984336772983099</v>
      </c>
      <c r="NR11" s="99">
        <v>45.074657598499002</v>
      </c>
      <c r="NS11" s="99">
        <v>45.164978424014997</v>
      </c>
      <c r="NT11" s="99">
        <v>45.2552992495309</v>
      </c>
      <c r="NU11" s="99">
        <v>45.345620075046902</v>
      </c>
      <c r="NV11" s="99">
        <v>45.435940900562798</v>
      </c>
      <c r="NW11" s="99">
        <v>45.526261726078801</v>
      </c>
      <c r="NX11" s="99">
        <v>45.616582551594703</v>
      </c>
      <c r="NY11" s="99">
        <v>45.706903377110699</v>
      </c>
      <c r="NZ11" s="99">
        <v>45.797224202626602</v>
      </c>
      <c r="OA11" s="99">
        <v>45.887545028142597</v>
      </c>
      <c r="OB11" s="99">
        <v>45.9778658536585</v>
      </c>
      <c r="OC11" s="99">
        <v>46.068186679174502</v>
      </c>
      <c r="OD11" s="99">
        <v>46.158507504690398</v>
      </c>
      <c r="OE11" s="99">
        <v>46.2488283302064</v>
      </c>
      <c r="OF11" s="99">
        <v>46.339149155722303</v>
      </c>
      <c r="OG11" s="99">
        <v>46.429469981238199</v>
      </c>
      <c r="OH11" s="99">
        <v>46.519790806754202</v>
      </c>
      <c r="OI11" s="99">
        <v>46.610111632270097</v>
      </c>
      <c r="OJ11" s="99">
        <v>46.7004324577861</v>
      </c>
      <c r="OK11" s="99">
        <v>46.790753283302003</v>
      </c>
      <c r="OL11" s="99">
        <v>46.881074108817998</v>
      </c>
      <c r="OM11" s="99">
        <v>46.971394934333901</v>
      </c>
      <c r="ON11" s="99">
        <v>47.061715759849903</v>
      </c>
      <c r="OO11" s="99">
        <v>47.152036585365799</v>
      </c>
      <c r="OP11" s="99">
        <v>47.242357410881802</v>
      </c>
      <c r="OQ11" s="99">
        <v>47.332678236397697</v>
      </c>
      <c r="OR11" s="99">
        <v>47.4229990619137</v>
      </c>
      <c r="OS11" s="99">
        <v>47.513319887429603</v>
      </c>
      <c r="OT11" s="99">
        <v>47.603640712945598</v>
      </c>
      <c r="OU11" s="99">
        <v>47.693961538461501</v>
      </c>
      <c r="OV11" s="99">
        <v>47.784282363977503</v>
      </c>
      <c r="OW11" s="99">
        <v>47.874603189493399</v>
      </c>
      <c r="OX11" s="99">
        <v>47.964924015009402</v>
      </c>
      <c r="OY11" s="99">
        <v>48.055244840525297</v>
      </c>
      <c r="OZ11" s="99">
        <v>48.1455656660412</v>
      </c>
      <c r="PA11" s="99">
        <v>48.235886491557203</v>
      </c>
      <c r="PB11" s="99">
        <v>48.326207317073099</v>
      </c>
      <c r="PC11" s="99">
        <v>48.416528142589101</v>
      </c>
      <c r="PD11" s="99">
        <v>48.506848968104997</v>
      </c>
      <c r="PE11" s="99">
        <v>48.597169793620999</v>
      </c>
      <c r="PF11" s="99">
        <v>48.687490619136902</v>
      </c>
      <c r="PG11" s="99">
        <v>48.777811444652897</v>
      </c>
      <c r="PH11" s="99">
        <v>48.8681322701688</v>
      </c>
      <c r="PI11" s="99">
        <v>48.958453095684803</v>
      </c>
      <c r="PJ11" s="99">
        <v>49.048773921200699</v>
      </c>
      <c r="PK11" s="99">
        <v>49.139094746716701</v>
      </c>
      <c r="PL11" s="99">
        <v>49.229415572232597</v>
      </c>
      <c r="PM11" s="99">
        <v>49.319736397748599</v>
      </c>
      <c r="PN11" s="99">
        <v>49.410057223264502</v>
      </c>
      <c r="PO11" s="99">
        <v>49.500378048780497</v>
      </c>
      <c r="PP11" s="99">
        <v>49.5906988742964</v>
      </c>
      <c r="PQ11" s="99">
        <v>49.681019699812403</v>
      </c>
      <c r="PR11" s="99">
        <v>49.771340525328299</v>
      </c>
      <c r="PS11" s="99">
        <v>49.861661350844301</v>
      </c>
      <c r="PT11" s="99">
        <v>49.951982176360197</v>
      </c>
      <c r="PU11" s="99">
        <v>50.0423030018761</v>
      </c>
      <c r="PV11" s="99">
        <v>50.132623827392102</v>
      </c>
      <c r="PW11" s="99">
        <v>50.222944652907998</v>
      </c>
      <c r="PX11" s="99">
        <v>50.313265478424</v>
      </c>
      <c r="PY11" s="99">
        <v>50.403586303939903</v>
      </c>
      <c r="PZ11" s="99">
        <v>50.493907129455899</v>
      </c>
      <c r="QA11" s="99">
        <v>50.584227954971801</v>
      </c>
      <c r="QB11" s="99">
        <v>50.674548780487797</v>
      </c>
      <c r="QC11" s="99">
        <v>50.7648696060037</v>
      </c>
      <c r="QD11" s="99">
        <v>50.855190431519702</v>
      </c>
      <c r="QE11" s="99">
        <v>50.945511257035598</v>
      </c>
      <c r="QF11" s="99">
        <v>51.0358320825516</v>
      </c>
      <c r="QG11" s="99">
        <v>51.126152908067503</v>
      </c>
      <c r="QH11" s="99">
        <v>51.216473733583499</v>
      </c>
      <c r="QI11" s="99">
        <v>51.306794559099401</v>
      </c>
      <c r="QJ11" s="99">
        <v>51.397115384615397</v>
      </c>
      <c r="QK11" s="99">
        <v>51.4874362101313</v>
      </c>
      <c r="QL11" s="99">
        <v>51.577757035647302</v>
      </c>
      <c r="QM11" s="99">
        <v>51.668077861163198</v>
      </c>
      <c r="QN11" s="99">
        <v>51.758398686679101</v>
      </c>
      <c r="QO11" s="99">
        <v>51.848719512195103</v>
      </c>
      <c r="QP11" s="99">
        <v>51.939040337710999</v>
      </c>
      <c r="QQ11" s="99">
        <v>52.029361163227001</v>
      </c>
      <c r="QR11" s="99">
        <v>52.119681988742897</v>
      </c>
      <c r="QS11" s="99">
        <v>52.2100028142589</v>
      </c>
      <c r="QT11" s="99">
        <v>52.300323639774803</v>
      </c>
      <c r="QU11" s="99">
        <v>52.390644465290798</v>
      </c>
      <c r="QV11" s="99">
        <v>52.480965290806701</v>
      </c>
      <c r="QW11" s="99">
        <v>52.571286116322703</v>
      </c>
      <c r="QX11" s="99">
        <v>52.661606941838599</v>
      </c>
      <c r="QY11" s="99">
        <v>52.751927767354601</v>
      </c>
      <c r="QZ11" s="99">
        <v>52.842248592870497</v>
      </c>
      <c r="RA11" s="99">
        <v>52.9325694183865</v>
      </c>
      <c r="RB11" s="99">
        <v>53.022890243902403</v>
      </c>
      <c r="RC11" s="99">
        <v>53.113211069418398</v>
      </c>
      <c r="RD11" s="99">
        <v>53.203531894934301</v>
      </c>
      <c r="RE11" s="99">
        <v>53.293852720450303</v>
      </c>
      <c r="RF11" s="99">
        <v>53.384173545966199</v>
      </c>
      <c r="RG11" s="99">
        <v>53.474494371482201</v>
      </c>
      <c r="RH11" s="99">
        <v>53.564815196998097</v>
      </c>
      <c r="RI11" s="99">
        <v>53.655136022514</v>
      </c>
      <c r="RJ11" s="99">
        <v>53.745456848030003</v>
      </c>
      <c r="RK11" s="99">
        <v>53.835777673545898</v>
      </c>
      <c r="RL11" s="99">
        <v>53.926098499061901</v>
      </c>
      <c r="RM11" s="99">
        <v>54.016419324577797</v>
      </c>
      <c r="RN11" s="99">
        <v>54.106740150093799</v>
      </c>
      <c r="RO11" s="99">
        <v>54.197060975609702</v>
      </c>
      <c r="RP11" s="99">
        <v>54.287381801125697</v>
      </c>
      <c r="RQ11" s="99">
        <v>54.3777026266416</v>
      </c>
      <c r="RR11" s="99">
        <v>54.468023452157603</v>
      </c>
      <c r="RS11" s="99">
        <v>54.558344277673498</v>
      </c>
      <c r="RT11" s="99">
        <v>54.648665103189501</v>
      </c>
      <c r="RU11" s="99">
        <v>54.738985928705397</v>
      </c>
      <c r="RV11" s="99">
        <v>54.829306754221399</v>
      </c>
      <c r="RW11" s="99">
        <v>54.919627579737302</v>
      </c>
      <c r="RX11" s="99">
        <v>55.009948405253297</v>
      </c>
      <c r="RY11" s="99">
        <v>55.1002692307692</v>
      </c>
      <c r="RZ11" s="99">
        <v>55.190590056285203</v>
      </c>
      <c r="SA11" s="99">
        <v>55.280910881801098</v>
      </c>
      <c r="SB11" s="99">
        <v>55.371231707317001</v>
      </c>
      <c r="SC11" s="99">
        <v>55.461552532832997</v>
      </c>
      <c r="SD11" s="99">
        <v>55.5518733583489</v>
      </c>
      <c r="SE11" s="99">
        <v>55.642194183864902</v>
      </c>
      <c r="SF11" s="99">
        <v>55.732515009380798</v>
      </c>
      <c r="SG11" s="99">
        <v>55.8228358348968</v>
      </c>
      <c r="SH11" s="99">
        <v>55.913156660412703</v>
      </c>
      <c r="SI11" s="99">
        <v>56.003477485928698</v>
      </c>
      <c r="SJ11" s="99">
        <v>56.093798311444601</v>
      </c>
      <c r="SK11" s="99">
        <v>56.184119136960597</v>
      </c>
      <c r="SL11" s="99">
        <v>56.274439962476499</v>
      </c>
      <c r="SM11" s="99">
        <v>56.364760787992502</v>
      </c>
      <c r="SN11" s="99">
        <v>56.455081613508398</v>
      </c>
      <c r="SO11" s="99">
        <v>56.5454024390244</v>
      </c>
      <c r="SP11" s="99">
        <v>56.635723264540303</v>
      </c>
      <c r="SQ11" s="99">
        <v>56.726044090056298</v>
      </c>
      <c r="SR11" s="99">
        <v>56.816364915572201</v>
      </c>
      <c r="SS11" s="99">
        <v>56.906685741088197</v>
      </c>
      <c r="ST11" s="99">
        <v>56.997006566604099</v>
      </c>
      <c r="SU11" s="99">
        <v>57.087327392120002</v>
      </c>
      <c r="SV11" s="99">
        <v>57.177648217635998</v>
      </c>
      <c r="SW11" s="99">
        <v>57.267969043151901</v>
      </c>
      <c r="SX11" s="99">
        <v>57.358289868667903</v>
      </c>
      <c r="SY11" s="99">
        <v>57.448610694183799</v>
      </c>
      <c r="SZ11" s="99">
        <v>57.538931519699801</v>
      </c>
      <c r="TA11" s="99">
        <v>57.629252345215697</v>
      </c>
      <c r="TB11" s="99">
        <v>57.719573170731699</v>
      </c>
      <c r="TC11" s="99">
        <v>57.809893996247602</v>
      </c>
      <c r="TD11" s="99">
        <v>57.900214821763598</v>
      </c>
      <c r="TE11" s="99">
        <v>57.990535647279501</v>
      </c>
      <c r="TF11" s="99">
        <v>58.080856472795503</v>
      </c>
      <c r="TG11" s="99">
        <v>58.171177298311399</v>
      </c>
      <c r="TH11" s="99">
        <v>58.261498123827401</v>
      </c>
      <c r="TI11" s="99">
        <v>58.351818949343297</v>
      </c>
      <c r="TJ11" s="99">
        <v>58.442139774859299</v>
      </c>
      <c r="TK11" s="99">
        <v>58.532460600375202</v>
      </c>
      <c r="TL11" s="99">
        <v>58.622781425891198</v>
      </c>
      <c r="TM11" s="99">
        <v>58.713102251407101</v>
      </c>
      <c r="TN11" s="99">
        <v>58.803423076923004</v>
      </c>
      <c r="TO11" s="99">
        <v>58.893743902438999</v>
      </c>
      <c r="TP11" s="99">
        <v>58.984064727954902</v>
      </c>
      <c r="TQ11" s="99">
        <v>59.074385553470897</v>
      </c>
      <c r="TR11" s="99">
        <v>59.1647063789868</v>
      </c>
      <c r="TS11" s="99">
        <v>59.255027204502802</v>
      </c>
      <c r="TT11" s="99">
        <v>59.345348030018698</v>
      </c>
      <c r="TU11" s="99">
        <v>59.435668855534701</v>
      </c>
      <c r="TV11" s="99">
        <v>59.525989681050604</v>
      </c>
      <c r="TW11" s="99">
        <v>59.616310506566599</v>
      </c>
      <c r="TX11" s="99">
        <v>59.706631332082502</v>
      </c>
      <c r="TY11" s="99">
        <v>59.796952157598497</v>
      </c>
      <c r="TZ11" s="99">
        <v>59.8872729831144</v>
      </c>
      <c r="UA11" s="99">
        <v>59.977593808630402</v>
      </c>
      <c r="UB11" s="99">
        <v>60.067914634146298</v>
      </c>
      <c r="UC11" s="99">
        <v>60.158235459662301</v>
      </c>
      <c r="UD11" s="99">
        <v>60.248556285178203</v>
      </c>
      <c r="UE11" s="99">
        <v>60.338877110694199</v>
      </c>
      <c r="UF11" s="99">
        <v>60.429197936210102</v>
      </c>
      <c r="UG11" s="99">
        <v>60.519518761725998</v>
      </c>
      <c r="UH11" s="99">
        <v>60.609839587242</v>
      </c>
      <c r="UI11" s="99">
        <v>60.700160412757903</v>
      </c>
      <c r="UJ11" s="99">
        <v>60.790481238273898</v>
      </c>
      <c r="UK11" s="99">
        <v>60.880802063789801</v>
      </c>
      <c r="UL11" s="99">
        <v>60.971122889305803</v>
      </c>
      <c r="UM11" s="99">
        <v>61.061443714821699</v>
      </c>
      <c r="UN11" s="99">
        <v>61.151764540337702</v>
      </c>
      <c r="UO11" s="99">
        <v>61.242085365853598</v>
      </c>
      <c r="UP11" s="99">
        <v>61.3324061913696</v>
      </c>
      <c r="UQ11" s="99">
        <v>61.422727016885503</v>
      </c>
      <c r="UR11" s="99">
        <v>61.513047842401498</v>
      </c>
      <c r="US11" s="99">
        <v>61.603368667917401</v>
      </c>
      <c r="UT11" s="99">
        <v>61.693689493433403</v>
      </c>
    </row>
    <row r="12" spans="1:566" x14ac:dyDescent="0.2">
      <c r="A12" s="89">
        <v>3</v>
      </c>
      <c r="B12" s="90">
        <v>10.61</v>
      </c>
      <c r="C12" s="90">
        <v>10.7</v>
      </c>
      <c r="D12" s="90">
        <v>10.79</v>
      </c>
      <c r="E12" s="90">
        <v>10.88</v>
      </c>
      <c r="F12" s="90">
        <v>10.96</v>
      </c>
      <c r="G12" s="90">
        <v>11.05</v>
      </c>
      <c r="H12" s="90">
        <v>11.14</v>
      </c>
      <c r="I12" s="90">
        <v>11.23</v>
      </c>
      <c r="J12" s="90">
        <v>11.32</v>
      </c>
      <c r="K12" s="90">
        <v>11.41</v>
      </c>
      <c r="L12" s="90">
        <v>11.5</v>
      </c>
      <c r="M12" s="90">
        <v>11.59</v>
      </c>
      <c r="N12" s="90">
        <v>11.68</v>
      </c>
      <c r="O12" s="90">
        <v>11.77</v>
      </c>
      <c r="P12" s="90">
        <v>11.86</v>
      </c>
      <c r="Q12" s="90">
        <v>11.95</v>
      </c>
      <c r="R12" s="90">
        <v>12.03</v>
      </c>
      <c r="S12" s="90">
        <v>12.12</v>
      </c>
      <c r="T12" s="90">
        <v>12.21</v>
      </c>
      <c r="U12" s="91">
        <v>12.3</v>
      </c>
      <c r="V12" s="90">
        <v>12.39</v>
      </c>
      <c r="W12" s="90">
        <v>12.48</v>
      </c>
      <c r="X12" s="90">
        <v>12.57</v>
      </c>
      <c r="Y12" s="90">
        <v>12.66</v>
      </c>
      <c r="Z12" s="90">
        <v>12.75</v>
      </c>
      <c r="AA12" s="90">
        <v>12.84</v>
      </c>
      <c r="AB12" s="90">
        <v>12.93</v>
      </c>
      <c r="AC12" s="90">
        <v>13.02</v>
      </c>
      <c r="AD12" s="90">
        <v>13.1</v>
      </c>
      <c r="AE12" s="90">
        <v>13.19</v>
      </c>
      <c r="AF12" s="90">
        <v>13.28</v>
      </c>
      <c r="AG12" s="90">
        <v>13.37</v>
      </c>
      <c r="AH12" s="90">
        <v>13.46</v>
      </c>
      <c r="AI12" s="90">
        <v>13.55</v>
      </c>
      <c r="AJ12" s="90">
        <v>13.64</v>
      </c>
      <c r="AK12" s="90">
        <v>13.73</v>
      </c>
      <c r="AL12" s="90">
        <v>13.82</v>
      </c>
      <c r="AM12" s="90">
        <v>13.91</v>
      </c>
      <c r="AN12" s="90">
        <v>14</v>
      </c>
      <c r="AO12" s="91">
        <v>14.09</v>
      </c>
      <c r="AP12" s="90">
        <v>14.175384615384599</v>
      </c>
      <c r="AQ12" s="90">
        <v>14.264574108818</v>
      </c>
      <c r="AR12" s="90">
        <v>14.3537636022514</v>
      </c>
      <c r="AS12" s="90">
        <v>14.4429530956848</v>
      </c>
      <c r="AT12" s="90">
        <v>14.5321425891182</v>
      </c>
      <c r="AU12" s="90">
        <v>14.6213320825516</v>
      </c>
      <c r="AV12" s="90">
        <v>14.710521575985</v>
      </c>
      <c r="AW12" s="90">
        <v>14.7997110694184</v>
      </c>
      <c r="AX12" s="90">
        <v>14.8889005628518</v>
      </c>
      <c r="AY12" s="90">
        <v>14.9780900562852</v>
      </c>
      <c r="AZ12" s="90">
        <v>15.067279549718601</v>
      </c>
      <c r="BA12" s="90">
        <v>15.156469043152001</v>
      </c>
      <c r="BB12" s="90">
        <v>15.245658536585401</v>
      </c>
      <c r="BC12" s="90">
        <v>15.334848030018801</v>
      </c>
      <c r="BD12" s="90">
        <v>15.424037523452199</v>
      </c>
      <c r="BE12" s="90">
        <v>15.513227016885599</v>
      </c>
      <c r="BF12" s="90">
        <v>15.6024165103189</v>
      </c>
      <c r="BG12" s="90">
        <v>15.6916060037523</v>
      </c>
      <c r="BH12" s="90">
        <v>15.7807954971857</v>
      </c>
      <c r="BI12" s="91">
        <v>15.8699849906191</v>
      </c>
      <c r="BJ12" s="90">
        <v>15.9591744840525</v>
      </c>
      <c r="BK12" s="99">
        <v>16.048363977485899</v>
      </c>
      <c r="BL12" s="99">
        <v>16.1375534709193</v>
      </c>
      <c r="BM12" s="99">
        <v>16.226742964352699</v>
      </c>
      <c r="BN12" s="99">
        <v>16.315932457786101</v>
      </c>
      <c r="BO12" s="99">
        <v>16.405121951219499</v>
      </c>
      <c r="BP12" s="99">
        <v>16.494311444652901</v>
      </c>
      <c r="BQ12" s="99">
        <v>16.583500938086299</v>
      </c>
      <c r="BR12" s="99">
        <v>16.672690431519701</v>
      </c>
      <c r="BS12" s="99">
        <v>16.761879924953099</v>
      </c>
      <c r="BT12" s="99">
        <v>16.851069418386501</v>
      </c>
      <c r="BU12" s="99">
        <v>16.9402589118199</v>
      </c>
      <c r="BV12" s="99">
        <v>17.029448405253302</v>
      </c>
      <c r="BW12" s="99">
        <v>17.1186378986867</v>
      </c>
      <c r="BX12" s="99">
        <v>17.207827392120102</v>
      </c>
      <c r="BY12" s="99">
        <v>17.2970168855535</v>
      </c>
      <c r="BZ12" s="99">
        <v>17.386206378986898</v>
      </c>
      <c r="CA12" s="99">
        <v>17.4753958724203</v>
      </c>
      <c r="CB12" s="99">
        <v>17.564585365853699</v>
      </c>
      <c r="CC12" s="99">
        <v>17.6537748592871</v>
      </c>
      <c r="CD12" s="99">
        <v>17.742964352720399</v>
      </c>
      <c r="CE12" s="99">
        <v>17.832153846153901</v>
      </c>
      <c r="CF12" s="99">
        <v>17.921343339587199</v>
      </c>
      <c r="CG12" s="99">
        <v>18.010532833020601</v>
      </c>
      <c r="CH12" s="99">
        <v>18.099722326454</v>
      </c>
      <c r="CI12" s="99">
        <v>18.188911819887402</v>
      </c>
      <c r="CJ12" s="99">
        <v>18.2781013133208</v>
      </c>
      <c r="CK12" s="99">
        <v>18.367290806754198</v>
      </c>
      <c r="CL12" s="99">
        <v>18.4564803001876</v>
      </c>
      <c r="CM12" s="99">
        <v>18.545669793620998</v>
      </c>
      <c r="CN12" s="99">
        <v>18.6348592870544</v>
      </c>
      <c r="CO12" s="99">
        <v>18.724048780487799</v>
      </c>
      <c r="CP12" s="99">
        <v>18.813238273921201</v>
      </c>
      <c r="CQ12" s="99">
        <v>18.902427767354599</v>
      </c>
      <c r="CR12" s="99">
        <v>18.991617260788001</v>
      </c>
      <c r="CS12" s="99">
        <v>19.080806754221399</v>
      </c>
      <c r="CT12" s="99">
        <v>19.169996247654801</v>
      </c>
      <c r="CU12" s="99">
        <v>19.259185741088199</v>
      </c>
      <c r="CV12" s="99">
        <v>19.348375234521601</v>
      </c>
      <c r="CW12" s="99">
        <v>19.437564727954999</v>
      </c>
      <c r="CX12" s="99">
        <v>19.526754221388401</v>
      </c>
      <c r="CY12" s="99">
        <v>19.6159437148218</v>
      </c>
      <c r="CZ12" s="99">
        <v>19.705133208255202</v>
      </c>
      <c r="DA12" s="99">
        <v>19.7943227016886</v>
      </c>
      <c r="DB12" s="99">
        <v>19.883512195122002</v>
      </c>
      <c r="DC12" s="99">
        <v>19.9727016885554</v>
      </c>
      <c r="DD12" s="99">
        <v>20.061891181988699</v>
      </c>
      <c r="DE12" s="99">
        <v>20.151080675422101</v>
      </c>
      <c r="DF12" s="99">
        <v>20.240270168855499</v>
      </c>
      <c r="DG12" s="99">
        <v>20.329459662288901</v>
      </c>
      <c r="DH12" s="99">
        <v>20.418649155722299</v>
      </c>
      <c r="DI12" s="99">
        <v>20.507838649155701</v>
      </c>
      <c r="DJ12" s="99">
        <v>20.5970281425891</v>
      </c>
      <c r="DK12" s="99">
        <v>20.686217636022501</v>
      </c>
      <c r="DL12" s="99">
        <v>20.7754071294559</v>
      </c>
      <c r="DM12" s="99">
        <v>20.864596622889302</v>
      </c>
      <c r="DN12" s="99">
        <v>20.9537861163227</v>
      </c>
      <c r="DO12" s="99">
        <v>21.042975609756098</v>
      </c>
      <c r="DP12" s="99">
        <v>21.1321651031895</v>
      </c>
      <c r="DQ12" s="99">
        <v>21.221354596622898</v>
      </c>
      <c r="DR12" s="99">
        <v>21.3105440900563</v>
      </c>
      <c r="DS12" s="99">
        <v>21.399733583489699</v>
      </c>
      <c r="DT12" s="99">
        <v>21.488923076923101</v>
      </c>
      <c r="DU12" s="99">
        <v>21.578112570356499</v>
      </c>
      <c r="DV12" s="99">
        <v>21.667302063789901</v>
      </c>
      <c r="DW12" s="99">
        <v>21.756491557223299</v>
      </c>
      <c r="DX12" s="99">
        <v>21.845681050656701</v>
      </c>
      <c r="DY12" s="99">
        <v>21.934870544090099</v>
      </c>
      <c r="DZ12" s="99">
        <v>22.024060037523501</v>
      </c>
      <c r="EA12" s="99">
        <v>22.113249530956899</v>
      </c>
      <c r="EB12" s="99">
        <v>22.202439024390301</v>
      </c>
      <c r="EC12" s="99">
        <v>22.2916285178237</v>
      </c>
      <c r="ED12" s="99">
        <v>22.380818011257102</v>
      </c>
      <c r="EE12" s="99">
        <v>22.4700075046905</v>
      </c>
      <c r="EF12" s="99">
        <v>22.559196998123799</v>
      </c>
      <c r="EG12" s="99">
        <v>22.648386491557201</v>
      </c>
      <c r="EH12" s="99">
        <v>22.737575984990599</v>
      </c>
      <c r="EI12" s="99">
        <v>22.826765478424001</v>
      </c>
      <c r="EJ12" s="99">
        <v>22.915954971857399</v>
      </c>
      <c r="EK12" s="99">
        <v>23.005144465290801</v>
      </c>
      <c r="EL12" s="99">
        <v>23.094333958724199</v>
      </c>
      <c r="EM12" s="99">
        <v>23.183523452157601</v>
      </c>
      <c r="EN12" s="99">
        <v>23.272712945591</v>
      </c>
      <c r="EO12" s="99">
        <v>23.361902439024401</v>
      </c>
      <c r="EP12" s="99">
        <v>23.4510919324578</v>
      </c>
      <c r="EQ12" s="99">
        <v>23.540281425891202</v>
      </c>
      <c r="ER12" s="99">
        <v>23.6294709193246</v>
      </c>
      <c r="ES12" s="99">
        <v>23.718660412757998</v>
      </c>
      <c r="ET12" s="99">
        <v>23.8078499061914</v>
      </c>
      <c r="EU12" s="99">
        <v>23.897039399624799</v>
      </c>
      <c r="EV12" s="99">
        <v>23.9862288930582</v>
      </c>
      <c r="EW12" s="99">
        <v>24.075418386491599</v>
      </c>
      <c r="EX12" s="99">
        <v>24.164607879925001</v>
      </c>
      <c r="EY12" s="99">
        <v>24.253797373358399</v>
      </c>
      <c r="EZ12" s="99">
        <v>24.342986866791801</v>
      </c>
      <c r="FA12" s="99">
        <v>24.432176360225199</v>
      </c>
      <c r="FB12" s="99">
        <v>24.521365853658601</v>
      </c>
      <c r="FC12" s="99">
        <v>24.610555347091999</v>
      </c>
      <c r="FD12" s="99">
        <v>24.699744840525401</v>
      </c>
      <c r="FE12" s="99">
        <v>24.7889343339587</v>
      </c>
      <c r="FF12" s="99">
        <v>24.878123827392098</v>
      </c>
      <c r="FG12" s="99">
        <v>24.9673133208255</v>
      </c>
      <c r="FH12" s="99">
        <v>25.056502814258899</v>
      </c>
      <c r="FI12" s="99">
        <v>25.1456923076923</v>
      </c>
      <c r="FJ12" s="99">
        <v>25.234881801125699</v>
      </c>
      <c r="FK12" s="99">
        <v>25.324071294559101</v>
      </c>
      <c r="FL12" s="99">
        <v>25.413260787992499</v>
      </c>
      <c r="FM12" s="99">
        <v>25.502450281425901</v>
      </c>
      <c r="FN12" s="99">
        <v>25.591639774859299</v>
      </c>
      <c r="FO12" s="99">
        <v>25.680829268292701</v>
      </c>
      <c r="FP12" s="99">
        <v>25.770018761726099</v>
      </c>
      <c r="FQ12" s="99">
        <v>25.859208255159501</v>
      </c>
      <c r="FR12" s="99">
        <v>25.9483977485929</v>
      </c>
      <c r="FS12" s="99">
        <v>26.037587242026301</v>
      </c>
      <c r="FT12" s="99">
        <v>26.1267767354597</v>
      </c>
      <c r="FU12" s="99">
        <v>26.215966228893102</v>
      </c>
      <c r="FV12" s="99">
        <v>26.3051557223265</v>
      </c>
      <c r="FW12" s="99">
        <v>26.394345215759898</v>
      </c>
      <c r="FX12" s="99">
        <v>26.4835347091933</v>
      </c>
      <c r="FY12" s="99">
        <v>26.572724202626699</v>
      </c>
      <c r="FZ12" s="99">
        <v>26.6619136960601</v>
      </c>
      <c r="GA12" s="99">
        <v>26.751103189493499</v>
      </c>
      <c r="GB12" s="99">
        <v>26.840292682926901</v>
      </c>
      <c r="GC12" s="99">
        <v>26.929482176360199</v>
      </c>
      <c r="GD12" s="99">
        <v>27.018671669793601</v>
      </c>
      <c r="GE12" s="99">
        <v>27.107861163227</v>
      </c>
      <c r="GF12" s="99">
        <v>27.197050656660402</v>
      </c>
      <c r="GG12" s="99">
        <v>27.2862401500938</v>
      </c>
      <c r="GH12" s="99">
        <v>27.375429643527202</v>
      </c>
      <c r="GI12" s="99">
        <v>27.4646191369606</v>
      </c>
      <c r="GJ12" s="99">
        <v>27.553808630393998</v>
      </c>
      <c r="GK12" s="99">
        <v>27.6429981238274</v>
      </c>
      <c r="GL12" s="99">
        <v>27.732187617260799</v>
      </c>
      <c r="GM12" s="99">
        <v>27.8213771106942</v>
      </c>
      <c r="GN12" s="99">
        <v>27.910566604127599</v>
      </c>
      <c r="GO12" s="99">
        <v>27.999756097561001</v>
      </c>
      <c r="GP12" s="99">
        <v>28.088945590994399</v>
      </c>
      <c r="GQ12" s="99">
        <v>28.178135084427801</v>
      </c>
      <c r="GR12" s="99">
        <v>28.267324577861199</v>
      </c>
      <c r="GS12" s="99">
        <v>28.356514071294601</v>
      </c>
      <c r="GT12" s="99">
        <v>28.445703564727999</v>
      </c>
      <c r="GU12" s="99">
        <v>28.534893058161401</v>
      </c>
      <c r="GV12" s="99">
        <v>28.6240825515948</v>
      </c>
      <c r="GW12" s="99">
        <v>28.713272045028202</v>
      </c>
      <c r="GX12" s="99">
        <v>28.8024615384616</v>
      </c>
      <c r="GY12" s="99">
        <v>28.891651031895002</v>
      </c>
      <c r="GZ12" s="99">
        <v>28.9808405253284</v>
      </c>
      <c r="HA12" s="99">
        <v>29.070030018761699</v>
      </c>
      <c r="HB12" s="99">
        <v>29.159219512195101</v>
      </c>
      <c r="HC12" s="99">
        <v>29.248409005628499</v>
      </c>
      <c r="HD12" s="99">
        <v>29.337598499061901</v>
      </c>
      <c r="HE12" s="99">
        <v>29.426787992495299</v>
      </c>
      <c r="HF12" s="99">
        <v>29.515977485928701</v>
      </c>
      <c r="HG12" s="99">
        <v>29.6051669793621</v>
      </c>
      <c r="HH12" s="99">
        <v>29.694356472795501</v>
      </c>
      <c r="HI12" s="99">
        <v>29.7835459662289</v>
      </c>
      <c r="HJ12" s="99">
        <v>29.872735459662302</v>
      </c>
      <c r="HK12" s="99">
        <v>29.9619249530957</v>
      </c>
      <c r="HL12" s="99">
        <v>30.051114446529098</v>
      </c>
      <c r="HM12" s="99">
        <v>30.1403039399625</v>
      </c>
      <c r="HN12" s="99">
        <v>30.229493433395898</v>
      </c>
      <c r="HO12" s="99">
        <v>30.3186829268293</v>
      </c>
      <c r="HP12" s="99">
        <v>30.407872420262699</v>
      </c>
      <c r="HQ12" s="99">
        <v>30.497061913696101</v>
      </c>
      <c r="HR12" s="99">
        <v>30.586251407129499</v>
      </c>
      <c r="HS12" s="99">
        <v>30.675440900562901</v>
      </c>
      <c r="HT12" s="99">
        <v>30.764630393996299</v>
      </c>
      <c r="HU12" s="99">
        <v>30.853819887429701</v>
      </c>
      <c r="HV12" s="99">
        <v>30.943009380863099</v>
      </c>
      <c r="HW12" s="99">
        <v>31.032198874296501</v>
      </c>
      <c r="HX12" s="99">
        <v>31.121388367729899</v>
      </c>
      <c r="HY12" s="99">
        <v>31.210577861163198</v>
      </c>
      <c r="HZ12" s="99">
        <v>31.2997673545966</v>
      </c>
      <c r="IA12" s="99">
        <v>31.388956848029999</v>
      </c>
      <c r="IB12" s="99">
        <v>31.4781463414634</v>
      </c>
      <c r="IC12" s="99">
        <v>31.567335834896799</v>
      </c>
      <c r="ID12" s="99">
        <v>31.656525328330201</v>
      </c>
      <c r="IE12" s="99">
        <v>31.745714821763599</v>
      </c>
      <c r="IF12" s="99">
        <v>31.834904315197001</v>
      </c>
      <c r="IG12" s="99">
        <v>31.924093808630399</v>
      </c>
      <c r="IH12" s="99">
        <v>32.013283302063797</v>
      </c>
      <c r="II12" s="99">
        <v>32.102472795497199</v>
      </c>
      <c r="IJ12" s="99">
        <v>32.191662288930601</v>
      </c>
      <c r="IK12" s="99">
        <v>32.280851782364003</v>
      </c>
      <c r="IL12" s="99">
        <v>32.370041275797398</v>
      </c>
      <c r="IM12" s="99">
        <v>32.4592307692308</v>
      </c>
      <c r="IN12" s="99">
        <v>32.548420262664202</v>
      </c>
      <c r="IO12" s="99">
        <v>32.637609756097604</v>
      </c>
      <c r="IP12" s="99">
        <v>32.726799249530998</v>
      </c>
      <c r="IQ12" s="99">
        <v>32.8159887429644</v>
      </c>
      <c r="IR12" s="99">
        <v>32.905178236397802</v>
      </c>
      <c r="IS12" s="99">
        <v>32.994367729831197</v>
      </c>
      <c r="IT12" s="99">
        <v>33.083557223264599</v>
      </c>
      <c r="IU12" s="99">
        <v>33.172746716698001</v>
      </c>
      <c r="IV12" s="99">
        <v>33.261936210131402</v>
      </c>
      <c r="IW12" s="99">
        <v>33.351125703564797</v>
      </c>
      <c r="IX12" s="99">
        <v>33.4403151969981</v>
      </c>
      <c r="IY12" s="99">
        <v>33.529504690431502</v>
      </c>
      <c r="IZ12" s="99">
        <v>33.618694183864903</v>
      </c>
      <c r="JA12" s="99">
        <v>33.707883677298298</v>
      </c>
      <c r="JB12" s="99">
        <v>33.7970731707317</v>
      </c>
      <c r="JC12" s="99">
        <v>33.886262664165102</v>
      </c>
      <c r="JD12" s="99">
        <v>33.975452157598497</v>
      </c>
      <c r="JE12" s="99">
        <v>34.064641651031899</v>
      </c>
      <c r="JF12" s="99">
        <v>34.1538311444653</v>
      </c>
      <c r="JG12" s="99">
        <v>34.243020637898702</v>
      </c>
      <c r="JH12" s="99">
        <v>34.332210131332097</v>
      </c>
      <c r="JI12" s="99">
        <v>34.421399624765499</v>
      </c>
      <c r="JJ12" s="99">
        <v>34.510589118198901</v>
      </c>
      <c r="JK12" s="99">
        <v>34.599778611632303</v>
      </c>
      <c r="JL12" s="99">
        <v>34.688968105065698</v>
      </c>
      <c r="JM12" s="99">
        <v>34.778157598499099</v>
      </c>
      <c r="JN12" s="99">
        <v>34.867347091932501</v>
      </c>
      <c r="JO12" s="99">
        <v>34.956536585365903</v>
      </c>
      <c r="JP12" s="99">
        <v>35.045726078799298</v>
      </c>
      <c r="JQ12" s="99">
        <v>35.1349155722327</v>
      </c>
      <c r="JR12" s="99">
        <v>35.224105065666102</v>
      </c>
      <c r="JS12" s="99">
        <v>35.313294559099504</v>
      </c>
      <c r="JT12" s="99">
        <v>35.402484052532898</v>
      </c>
      <c r="JU12" s="99">
        <v>35.4916735459663</v>
      </c>
      <c r="JV12" s="99">
        <v>35.580863039399603</v>
      </c>
      <c r="JW12" s="99">
        <v>35.670052532832997</v>
      </c>
      <c r="JX12" s="99">
        <v>35.759242026266399</v>
      </c>
      <c r="JY12" s="99">
        <v>35.848431519699801</v>
      </c>
      <c r="JZ12" s="99">
        <v>35.937621013133203</v>
      </c>
      <c r="KA12" s="99">
        <v>36.026810506566598</v>
      </c>
      <c r="KB12" s="99">
        <v>36.116</v>
      </c>
      <c r="KC12" s="99">
        <v>36.205189493433402</v>
      </c>
      <c r="KD12" s="99">
        <v>36.294378986866803</v>
      </c>
      <c r="KE12" s="99">
        <v>36.383568480300198</v>
      </c>
      <c r="KF12" s="99">
        <v>36.4727579737336</v>
      </c>
      <c r="KG12" s="99">
        <v>36.561947467167002</v>
      </c>
      <c r="KH12" s="99">
        <v>36.651136960600397</v>
      </c>
      <c r="KI12" s="99">
        <v>36.740326454033799</v>
      </c>
      <c r="KJ12" s="99">
        <v>36.8295159474672</v>
      </c>
      <c r="KK12" s="99">
        <v>36.918705440900602</v>
      </c>
      <c r="KL12" s="99">
        <v>37.007894934333997</v>
      </c>
      <c r="KM12" s="99">
        <v>37.097084427767399</v>
      </c>
      <c r="KN12" s="99">
        <v>37.186273921200801</v>
      </c>
      <c r="KO12" s="99">
        <v>37.275463414634203</v>
      </c>
      <c r="KP12" s="99">
        <v>37.364652908067598</v>
      </c>
      <c r="KQ12" s="99">
        <v>37.453842401500999</v>
      </c>
      <c r="KR12" s="99">
        <v>37.543031894934401</v>
      </c>
      <c r="KS12" s="99">
        <v>37.632221388367803</v>
      </c>
      <c r="KT12" s="99">
        <v>37.721410881801098</v>
      </c>
      <c r="KU12" s="99">
        <v>37.8106003752345</v>
      </c>
      <c r="KV12" s="99">
        <v>37.899789868667902</v>
      </c>
      <c r="KW12" s="99">
        <v>37.988979362101297</v>
      </c>
      <c r="KX12" s="99">
        <v>38.078168855534699</v>
      </c>
      <c r="KY12" s="99">
        <v>38.167358348968101</v>
      </c>
      <c r="KZ12" s="99">
        <v>38.256547842401503</v>
      </c>
      <c r="LA12" s="99">
        <v>38.345737335834897</v>
      </c>
      <c r="LB12" s="99">
        <v>38.434926829268299</v>
      </c>
      <c r="LC12" s="99">
        <v>38.524116322701701</v>
      </c>
      <c r="LD12" s="99">
        <v>38.613305816135103</v>
      </c>
      <c r="LE12" s="99">
        <v>38.702495309568498</v>
      </c>
      <c r="LF12" s="99">
        <v>38.7916848030019</v>
      </c>
      <c r="LG12" s="99">
        <v>38.880874296435302</v>
      </c>
      <c r="LH12" s="99">
        <v>38.970063789868703</v>
      </c>
      <c r="LI12" s="99">
        <v>39.059253283302098</v>
      </c>
      <c r="LJ12" s="99">
        <v>39.1484427767355</v>
      </c>
      <c r="LK12" s="99">
        <v>39.237632270168902</v>
      </c>
      <c r="LL12" s="99">
        <v>39.326821763602297</v>
      </c>
      <c r="LM12" s="99">
        <v>39.416011257035699</v>
      </c>
      <c r="LN12" s="99">
        <v>39.505200750469101</v>
      </c>
      <c r="LO12" s="99">
        <v>39.594390243902502</v>
      </c>
      <c r="LP12" s="99">
        <v>39.683579737335897</v>
      </c>
      <c r="LQ12" s="99">
        <v>39.772769230769299</v>
      </c>
      <c r="LR12" s="99">
        <v>39.861958724202601</v>
      </c>
      <c r="LS12" s="99">
        <v>39.951148217636003</v>
      </c>
      <c r="LT12" s="99">
        <v>40.040337711069398</v>
      </c>
      <c r="LU12" s="99">
        <v>40.1295272045028</v>
      </c>
      <c r="LV12" s="99">
        <v>40.218716697936202</v>
      </c>
      <c r="LW12" s="99">
        <v>40.307906191369597</v>
      </c>
      <c r="LX12" s="99">
        <v>40.397095684802999</v>
      </c>
      <c r="LY12" s="99">
        <v>40.4862851782364</v>
      </c>
      <c r="LZ12" s="99">
        <v>40.575474671669802</v>
      </c>
      <c r="MA12" s="99">
        <v>40.664664165103197</v>
      </c>
      <c r="MB12" s="99">
        <v>40.753853658536599</v>
      </c>
      <c r="MC12" s="99">
        <v>40.843043151970001</v>
      </c>
      <c r="MD12" s="99">
        <v>40.932232645403403</v>
      </c>
      <c r="ME12" s="99">
        <v>41.021422138836797</v>
      </c>
      <c r="MF12" s="99">
        <v>41.110611632270199</v>
      </c>
      <c r="MG12" s="99">
        <v>41.199801125703601</v>
      </c>
      <c r="MH12" s="99">
        <v>41.288990619137003</v>
      </c>
      <c r="MI12" s="99">
        <v>41.378180112570398</v>
      </c>
      <c r="MJ12" s="99">
        <v>41.4673696060038</v>
      </c>
      <c r="MK12" s="99">
        <v>41.556559099437202</v>
      </c>
      <c r="ML12" s="99">
        <v>41.645748592870603</v>
      </c>
      <c r="MM12" s="99">
        <v>41.734938086303998</v>
      </c>
      <c r="MN12" s="99">
        <v>41.8241275797374</v>
      </c>
      <c r="MO12" s="99">
        <v>41.913317073170802</v>
      </c>
      <c r="MP12" s="99">
        <v>42.002506566604197</v>
      </c>
      <c r="MQ12" s="99">
        <v>42.091696060037499</v>
      </c>
      <c r="MR12" s="99">
        <v>42.180885553470901</v>
      </c>
      <c r="MS12" s="99">
        <v>42.270075046904303</v>
      </c>
      <c r="MT12" s="99">
        <v>42.359264540337698</v>
      </c>
      <c r="MU12" s="99">
        <v>42.4484540337711</v>
      </c>
      <c r="MV12" s="99">
        <v>42.537643527204501</v>
      </c>
      <c r="MW12" s="99">
        <v>42.626833020637903</v>
      </c>
      <c r="MX12" s="99">
        <v>42.716022514071298</v>
      </c>
      <c r="MY12" s="99">
        <v>42.8052120075047</v>
      </c>
      <c r="MZ12" s="99">
        <v>42.894401500938102</v>
      </c>
      <c r="NA12" s="99">
        <v>42.983590994371497</v>
      </c>
      <c r="NB12" s="99">
        <v>43.072780487804899</v>
      </c>
      <c r="NC12" s="99">
        <v>43.1619699812383</v>
      </c>
      <c r="ND12" s="99">
        <v>43.251159474671702</v>
      </c>
      <c r="NE12" s="99">
        <v>43.340348968105097</v>
      </c>
      <c r="NF12" s="99">
        <v>43.429538461538499</v>
      </c>
      <c r="NG12" s="99">
        <v>43.518727954971901</v>
      </c>
      <c r="NH12" s="99">
        <v>43.607917448405303</v>
      </c>
      <c r="NI12" s="99">
        <v>43.697106941838697</v>
      </c>
      <c r="NJ12" s="99">
        <v>43.786296435272099</v>
      </c>
      <c r="NK12" s="99">
        <v>43.875485928705501</v>
      </c>
      <c r="NL12" s="99">
        <v>43.964675422138903</v>
      </c>
      <c r="NM12" s="99">
        <v>44.053864915572298</v>
      </c>
      <c r="NN12" s="99">
        <v>44.1430544090057</v>
      </c>
      <c r="NO12" s="99">
        <v>44.232243902439002</v>
      </c>
      <c r="NP12" s="99">
        <v>44.321433395872397</v>
      </c>
      <c r="NQ12" s="99">
        <v>44.410622889305799</v>
      </c>
      <c r="NR12" s="99">
        <v>44.499812382739201</v>
      </c>
      <c r="NS12" s="99">
        <v>44.589001876172603</v>
      </c>
      <c r="NT12" s="99">
        <v>44.678191369605997</v>
      </c>
      <c r="NU12" s="99">
        <v>44.767380863039399</v>
      </c>
      <c r="NV12" s="99">
        <v>44.856570356472801</v>
      </c>
      <c r="NW12" s="99">
        <v>44.945759849906203</v>
      </c>
      <c r="NX12" s="99">
        <v>45.034949343339598</v>
      </c>
      <c r="NY12" s="99">
        <v>45.124138836773</v>
      </c>
      <c r="NZ12" s="99">
        <v>45.213328330206402</v>
      </c>
      <c r="OA12" s="99">
        <v>45.302517823639803</v>
      </c>
      <c r="OB12" s="99">
        <v>45.391707317073198</v>
      </c>
      <c r="OC12" s="99">
        <v>45.4808968105066</v>
      </c>
      <c r="OD12" s="99">
        <v>45.570086303940002</v>
      </c>
      <c r="OE12" s="99">
        <v>45.659275797373397</v>
      </c>
      <c r="OF12" s="99">
        <v>45.748465290806799</v>
      </c>
      <c r="OG12" s="99">
        <v>45.8376547842402</v>
      </c>
      <c r="OH12" s="99">
        <v>45.926844277673602</v>
      </c>
      <c r="OI12" s="99">
        <v>46.016033771106997</v>
      </c>
      <c r="OJ12" s="99">
        <v>46.105223264540399</v>
      </c>
      <c r="OK12" s="99">
        <v>46.194412757973801</v>
      </c>
      <c r="OL12" s="99">
        <v>46.283602251407103</v>
      </c>
      <c r="OM12" s="99">
        <v>46.372791744840598</v>
      </c>
      <c r="ON12" s="99">
        <v>46.4619812382739</v>
      </c>
      <c r="OO12" s="99">
        <v>46.551170731707302</v>
      </c>
      <c r="OP12" s="99">
        <v>46.640360225140697</v>
      </c>
      <c r="OQ12" s="99">
        <v>46.729549718574098</v>
      </c>
      <c r="OR12" s="99">
        <v>46.8187392120075</v>
      </c>
      <c r="OS12" s="99">
        <v>46.907928705440902</v>
      </c>
      <c r="OT12" s="99">
        <v>46.997118198874297</v>
      </c>
      <c r="OU12" s="99">
        <v>47.086307692307699</v>
      </c>
      <c r="OV12" s="99">
        <v>47.175497185741101</v>
      </c>
      <c r="OW12" s="99">
        <v>47.264686679174503</v>
      </c>
      <c r="OX12" s="99">
        <v>47.353876172607897</v>
      </c>
      <c r="OY12" s="99">
        <v>47.443065666041299</v>
      </c>
      <c r="OZ12" s="99">
        <v>47.532255159474701</v>
      </c>
      <c r="PA12" s="99">
        <v>47.621444652908103</v>
      </c>
      <c r="PB12" s="99">
        <v>47.710634146341498</v>
      </c>
      <c r="PC12" s="99">
        <v>47.7998236397749</v>
      </c>
      <c r="PD12" s="99">
        <v>47.889013133208302</v>
      </c>
      <c r="PE12" s="99">
        <v>47.978202626641703</v>
      </c>
      <c r="PF12" s="99">
        <v>48.067392120075098</v>
      </c>
      <c r="PG12" s="99">
        <v>48.1565816135085</v>
      </c>
      <c r="PH12" s="99">
        <v>48.245771106941902</v>
      </c>
      <c r="PI12" s="99">
        <v>48.334960600375297</v>
      </c>
      <c r="PJ12" s="99">
        <v>48.424150093808699</v>
      </c>
      <c r="PK12" s="99">
        <v>48.513339587242001</v>
      </c>
      <c r="PL12" s="99">
        <v>48.602529080675403</v>
      </c>
      <c r="PM12" s="99">
        <v>48.691718574108798</v>
      </c>
      <c r="PN12" s="99">
        <v>48.7809080675422</v>
      </c>
      <c r="PO12" s="99">
        <v>48.870097560975601</v>
      </c>
      <c r="PP12" s="99">
        <v>48.959287054409003</v>
      </c>
      <c r="PQ12" s="99">
        <v>49.048476547842398</v>
      </c>
      <c r="PR12" s="99">
        <v>49.1376660412758</v>
      </c>
      <c r="PS12" s="99">
        <v>49.226855534709202</v>
      </c>
      <c r="PT12" s="99">
        <v>49.316045028142597</v>
      </c>
      <c r="PU12" s="99">
        <v>49.405234521575998</v>
      </c>
      <c r="PV12" s="99">
        <v>49.4944240150094</v>
      </c>
      <c r="PW12" s="99">
        <v>49.583613508442802</v>
      </c>
      <c r="PX12" s="99">
        <v>49.672803001876197</v>
      </c>
      <c r="PY12" s="99">
        <v>49.761992495309599</v>
      </c>
      <c r="PZ12" s="99">
        <v>49.851181988743001</v>
      </c>
      <c r="QA12" s="99">
        <v>49.940371482176403</v>
      </c>
      <c r="QB12" s="99">
        <v>50.029560975609797</v>
      </c>
      <c r="QC12" s="99">
        <v>50.118750469043199</v>
      </c>
      <c r="QD12" s="99">
        <v>50.207939962476601</v>
      </c>
      <c r="QE12" s="99">
        <v>50.297129455910003</v>
      </c>
      <c r="QF12" s="99">
        <v>50.386318949343398</v>
      </c>
      <c r="QG12" s="99">
        <v>50.4755084427768</v>
      </c>
      <c r="QH12" s="99">
        <v>50.564697936210202</v>
      </c>
      <c r="QI12" s="99">
        <v>50.653887429643603</v>
      </c>
      <c r="QJ12" s="99">
        <v>50.743076923076899</v>
      </c>
      <c r="QK12" s="99">
        <v>50.832266416510301</v>
      </c>
      <c r="QL12" s="99">
        <v>50.921455909943703</v>
      </c>
      <c r="QM12" s="99">
        <v>51.010645403377097</v>
      </c>
      <c r="QN12" s="99">
        <v>51.099834896810499</v>
      </c>
      <c r="QO12" s="99">
        <v>51.189024390243901</v>
      </c>
      <c r="QP12" s="99">
        <v>51.278213883677303</v>
      </c>
      <c r="QQ12" s="99">
        <v>51.367403377110698</v>
      </c>
      <c r="QR12" s="99">
        <v>51.4565928705441</v>
      </c>
      <c r="QS12" s="99">
        <v>51.545782363977501</v>
      </c>
      <c r="QT12" s="99">
        <v>51.634971857410903</v>
      </c>
      <c r="QU12" s="99">
        <v>51.724161350844298</v>
      </c>
      <c r="QV12" s="99">
        <v>51.8133508442777</v>
      </c>
      <c r="QW12" s="99">
        <v>51.902540337711102</v>
      </c>
      <c r="QX12" s="99">
        <v>51.991729831144497</v>
      </c>
      <c r="QY12" s="99">
        <v>52.080919324577899</v>
      </c>
      <c r="QZ12" s="99">
        <v>52.1701088180113</v>
      </c>
      <c r="RA12" s="99">
        <v>52.259298311444702</v>
      </c>
      <c r="RB12" s="99">
        <v>52.348487804878097</v>
      </c>
      <c r="RC12" s="99">
        <v>52.437677298311499</v>
      </c>
      <c r="RD12" s="99">
        <v>52.526866791744901</v>
      </c>
      <c r="RE12" s="99">
        <v>52.616056285178303</v>
      </c>
      <c r="RF12" s="99">
        <v>52.705245778611697</v>
      </c>
      <c r="RG12" s="99">
        <v>52.794435272045099</v>
      </c>
      <c r="RH12" s="99">
        <v>52.883624765478402</v>
      </c>
      <c r="RI12" s="99">
        <v>52.972814258911797</v>
      </c>
      <c r="RJ12" s="99">
        <v>53.062003752345198</v>
      </c>
      <c r="RK12" s="99">
        <v>53.1511932457786</v>
      </c>
      <c r="RL12" s="99">
        <v>53.240382739212002</v>
      </c>
      <c r="RM12" s="99">
        <v>53.329572232645397</v>
      </c>
      <c r="RN12" s="99">
        <v>53.418761726078799</v>
      </c>
      <c r="RO12" s="99">
        <v>53.507951219512201</v>
      </c>
      <c r="RP12" s="99">
        <v>53.597140712945603</v>
      </c>
      <c r="RQ12" s="99">
        <v>53.686330206378997</v>
      </c>
      <c r="RR12" s="99">
        <v>53.775519699812399</v>
      </c>
      <c r="RS12" s="99">
        <v>53.864709193245801</v>
      </c>
      <c r="RT12" s="99">
        <v>53.953898686679203</v>
      </c>
      <c r="RU12" s="99">
        <v>54.043088180112598</v>
      </c>
      <c r="RV12" s="99">
        <v>54.132277673546</v>
      </c>
      <c r="RW12" s="99">
        <v>54.221467166979401</v>
      </c>
      <c r="RX12" s="99">
        <v>54.310656660412803</v>
      </c>
      <c r="RY12" s="99">
        <v>54.399846153846198</v>
      </c>
      <c r="RZ12" s="99">
        <v>54.4890356472796</v>
      </c>
      <c r="SA12" s="99">
        <v>54.578225140713002</v>
      </c>
      <c r="SB12" s="99">
        <v>54.667414634146397</v>
      </c>
      <c r="SC12" s="99">
        <v>54.756604127579799</v>
      </c>
      <c r="SD12" s="99">
        <v>54.8457936210132</v>
      </c>
      <c r="SE12" s="99">
        <v>54.934983114446602</v>
      </c>
      <c r="SF12" s="99">
        <v>55.024172607879997</v>
      </c>
      <c r="SG12" s="99">
        <v>55.113362101313299</v>
      </c>
      <c r="SH12" s="99">
        <v>55.202551594746701</v>
      </c>
      <c r="SI12" s="99">
        <v>55.291741088180103</v>
      </c>
      <c r="SJ12" s="99">
        <v>55.380930581613498</v>
      </c>
      <c r="SK12" s="99">
        <v>55.4701200750469</v>
      </c>
      <c r="SL12" s="99">
        <v>55.559309568480302</v>
      </c>
      <c r="SM12" s="99">
        <v>55.648499061913697</v>
      </c>
      <c r="SN12" s="99">
        <v>55.737688555347098</v>
      </c>
      <c r="SO12" s="99">
        <v>55.8268780487805</v>
      </c>
      <c r="SP12" s="99">
        <v>55.916067542213902</v>
      </c>
      <c r="SQ12" s="99">
        <v>56.005257035647297</v>
      </c>
      <c r="SR12" s="99">
        <v>56.094446529080699</v>
      </c>
      <c r="SS12" s="99">
        <v>56.183636022514101</v>
      </c>
      <c r="ST12" s="99">
        <v>56.272825515947503</v>
      </c>
      <c r="SU12" s="99">
        <v>56.362015009380897</v>
      </c>
      <c r="SV12" s="99">
        <v>56.451204502814299</v>
      </c>
      <c r="SW12" s="99">
        <v>56.540393996247701</v>
      </c>
      <c r="SX12" s="99">
        <v>56.629583489681103</v>
      </c>
      <c r="SY12" s="99">
        <v>56.718772983114498</v>
      </c>
      <c r="SZ12" s="99">
        <v>56.8079624765479</v>
      </c>
      <c r="TA12" s="99">
        <v>56.897151969981302</v>
      </c>
      <c r="TB12" s="99">
        <v>56.986341463414703</v>
      </c>
      <c r="TC12" s="99">
        <v>57.075530956848098</v>
      </c>
      <c r="TD12" s="99">
        <v>57.1647204502815</v>
      </c>
      <c r="TE12" s="99">
        <v>57.253909943714802</v>
      </c>
      <c r="TF12" s="99">
        <v>57.343099437148197</v>
      </c>
      <c r="TG12" s="99">
        <v>57.432288930581599</v>
      </c>
      <c r="TH12" s="99">
        <v>57.521478424015001</v>
      </c>
      <c r="TI12" s="99">
        <v>57.610667917448403</v>
      </c>
      <c r="TJ12" s="99">
        <v>57.699857410881798</v>
      </c>
      <c r="TK12" s="99">
        <v>57.7890469043152</v>
      </c>
      <c r="TL12" s="99">
        <v>57.878236397748601</v>
      </c>
      <c r="TM12" s="99">
        <v>57.967425891182003</v>
      </c>
      <c r="TN12" s="99">
        <v>58.056615384615398</v>
      </c>
      <c r="TO12" s="99">
        <v>58.1458048780488</v>
      </c>
      <c r="TP12" s="99">
        <v>58.234994371482202</v>
      </c>
      <c r="TQ12" s="99">
        <v>58.324183864915597</v>
      </c>
      <c r="TR12" s="99">
        <v>58.413373358348998</v>
      </c>
      <c r="TS12" s="99">
        <v>58.5025628517824</v>
      </c>
      <c r="TT12" s="99">
        <v>58.591752345215802</v>
      </c>
      <c r="TU12" s="99">
        <v>58.680941838649197</v>
      </c>
      <c r="TV12" s="99">
        <v>58.770131332082599</v>
      </c>
      <c r="TW12" s="99">
        <v>58.859320825516001</v>
      </c>
      <c r="TX12" s="99">
        <v>58.948510318949403</v>
      </c>
      <c r="TY12" s="99">
        <v>59.037699812382797</v>
      </c>
      <c r="TZ12" s="99">
        <v>59.126889305816199</v>
      </c>
      <c r="UA12" s="99">
        <v>59.216078799249601</v>
      </c>
      <c r="UB12" s="99">
        <v>59.305268292683003</v>
      </c>
      <c r="UC12" s="99">
        <v>59.394457786116298</v>
      </c>
      <c r="UD12" s="99">
        <v>59.4836472795497</v>
      </c>
      <c r="UE12" s="99">
        <v>59.572836772983102</v>
      </c>
      <c r="UF12" s="99">
        <v>59.662026266416497</v>
      </c>
      <c r="UG12" s="99">
        <v>59.751215759849899</v>
      </c>
      <c r="UH12" s="99">
        <v>59.840405253283301</v>
      </c>
      <c r="UI12" s="99">
        <v>59.929594746716703</v>
      </c>
      <c r="UJ12" s="99">
        <v>60.018784240150097</v>
      </c>
      <c r="UK12" s="99">
        <v>60.107973733583499</v>
      </c>
      <c r="UL12" s="99">
        <v>60.197163227016901</v>
      </c>
      <c r="UM12" s="99">
        <v>60.286352720450303</v>
      </c>
      <c r="UN12" s="99">
        <v>60.375542213883698</v>
      </c>
      <c r="UO12" s="99">
        <v>60.4647317073171</v>
      </c>
      <c r="UP12" s="99">
        <v>60.553921200750501</v>
      </c>
      <c r="UQ12" s="99">
        <v>60.643110694183903</v>
      </c>
      <c r="UR12" s="99">
        <v>60.732300187617298</v>
      </c>
      <c r="US12" s="99">
        <v>60.8214896810507</v>
      </c>
      <c r="UT12" s="99">
        <v>60.910679174484102</v>
      </c>
    </row>
    <row r="13" spans="1:566" x14ac:dyDescent="0.2">
      <c r="A13" s="89">
        <v>3.5</v>
      </c>
      <c r="B13" s="90">
        <v>10.47</v>
      </c>
      <c r="C13" s="90">
        <v>10.55</v>
      </c>
      <c r="D13" s="90">
        <v>10.64</v>
      </c>
      <c r="E13" s="90">
        <v>10.73</v>
      </c>
      <c r="F13" s="90">
        <v>10.82</v>
      </c>
      <c r="G13" s="90">
        <v>10.91</v>
      </c>
      <c r="H13" s="90">
        <v>10.99</v>
      </c>
      <c r="I13" s="90">
        <v>11.08</v>
      </c>
      <c r="J13" s="90">
        <v>11.17</v>
      </c>
      <c r="K13" s="90">
        <v>11.26</v>
      </c>
      <c r="L13" s="90">
        <v>11.35</v>
      </c>
      <c r="M13" s="90">
        <v>11.43</v>
      </c>
      <c r="N13" s="90">
        <v>11.52</v>
      </c>
      <c r="O13" s="90">
        <v>11.61</v>
      </c>
      <c r="P13" s="90">
        <v>11.7</v>
      </c>
      <c r="Q13" s="90">
        <v>11.79</v>
      </c>
      <c r="R13" s="90">
        <v>11.87</v>
      </c>
      <c r="S13" s="90">
        <v>11.96</v>
      </c>
      <c r="T13" s="90">
        <v>12.05</v>
      </c>
      <c r="U13" s="91">
        <v>12.14</v>
      </c>
      <c r="V13" s="90">
        <v>12.23</v>
      </c>
      <c r="W13" s="90">
        <v>12.31</v>
      </c>
      <c r="X13" s="90">
        <v>12.4</v>
      </c>
      <c r="Y13" s="90">
        <v>12.49</v>
      </c>
      <c r="Z13" s="90">
        <v>12.58</v>
      </c>
      <c r="AA13" s="90">
        <v>12.67</v>
      </c>
      <c r="AB13" s="90">
        <v>12.75</v>
      </c>
      <c r="AC13" s="90">
        <v>12.84</v>
      </c>
      <c r="AD13" s="90">
        <v>12.93</v>
      </c>
      <c r="AE13" s="90">
        <v>13.02</v>
      </c>
      <c r="AF13" s="90">
        <v>13.11</v>
      </c>
      <c r="AG13" s="90">
        <v>13.19</v>
      </c>
      <c r="AH13" s="90">
        <v>13.28</v>
      </c>
      <c r="AI13" s="90">
        <v>13.37</v>
      </c>
      <c r="AJ13" s="90">
        <v>13.46</v>
      </c>
      <c r="AK13" s="90">
        <v>13.55</v>
      </c>
      <c r="AL13" s="90">
        <v>13.63</v>
      </c>
      <c r="AM13" s="90">
        <v>13.72</v>
      </c>
      <c r="AN13" s="90">
        <v>13.81</v>
      </c>
      <c r="AO13" s="91">
        <v>13.9</v>
      </c>
      <c r="AP13" s="90">
        <v>13.986000000000001</v>
      </c>
      <c r="AQ13" s="90">
        <v>14.074</v>
      </c>
      <c r="AR13" s="90">
        <v>14.162000000000001</v>
      </c>
      <c r="AS13" s="90">
        <v>14.25</v>
      </c>
      <c r="AT13" s="90">
        <v>14.337999999999999</v>
      </c>
      <c r="AU13" s="90">
        <v>14.426</v>
      </c>
      <c r="AV13" s="90">
        <v>14.513999999999999</v>
      </c>
      <c r="AW13" s="90">
        <v>14.602</v>
      </c>
      <c r="AX13" s="90">
        <v>14.69</v>
      </c>
      <c r="AY13" s="90">
        <v>14.778</v>
      </c>
      <c r="AZ13" s="90">
        <v>14.866</v>
      </c>
      <c r="BA13" s="90">
        <v>14.954000000000001</v>
      </c>
      <c r="BB13" s="90">
        <v>15.042</v>
      </c>
      <c r="BC13" s="90">
        <v>15.13</v>
      </c>
      <c r="BD13" s="90">
        <v>15.218</v>
      </c>
      <c r="BE13" s="90">
        <v>15.305999999999999</v>
      </c>
      <c r="BF13" s="90">
        <v>15.394</v>
      </c>
      <c r="BG13" s="90">
        <v>15.481999999999999</v>
      </c>
      <c r="BH13" s="90">
        <v>15.57</v>
      </c>
      <c r="BI13" s="91">
        <v>15.657999999999999</v>
      </c>
      <c r="BJ13" s="90">
        <v>15.746</v>
      </c>
      <c r="BK13" s="99">
        <v>15.834</v>
      </c>
      <c r="BL13" s="99">
        <v>15.922000000000001</v>
      </c>
      <c r="BM13" s="99">
        <v>16.010000000000002</v>
      </c>
      <c r="BN13" s="99">
        <v>16.097999999999999</v>
      </c>
      <c r="BO13" s="99">
        <v>16.186</v>
      </c>
      <c r="BP13" s="99">
        <v>16.274000000000001</v>
      </c>
      <c r="BQ13" s="99">
        <v>16.361999999999998</v>
      </c>
      <c r="BR13" s="99">
        <v>16.45</v>
      </c>
      <c r="BS13" s="99">
        <v>16.538</v>
      </c>
      <c r="BT13" s="99">
        <v>16.626000000000001</v>
      </c>
      <c r="BU13" s="99">
        <v>16.713999999999999</v>
      </c>
      <c r="BV13" s="99">
        <v>16.802</v>
      </c>
      <c r="BW13" s="99">
        <v>16.89</v>
      </c>
      <c r="BX13" s="99">
        <v>16.978000000000002</v>
      </c>
      <c r="BY13" s="99">
        <v>17.065999999999999</v>
      </c>
      <c r="BZ13" s="99">
        <v>17.154</v>
      </c>
      <c r="CA13" s="99">
        <v>17.242000000000001</v>
      </c>
      <c r="CB13" s="99">
        <v>17.329999999999998</v>
      </c>
      <c r="CC13" s="99">
        <v>17.417999999999999</v>
      </c>
      <c r="CD13" s="99">
        <v>17.506</v>
      </c>
      <c r="CE13" s="99">
        <v>17.594000000000001</v>
      </c>
      <c r="CF13" s="99">
        <v>17.681999999999999</v>
      </c>
      <c r="CG13" s="99">
        <v>17.77</v>
      </c>
      <c r="CH13" s="99">
        <v>17.858000000000001</v>
      </c>
      <c r="CI13" s="99">
        <v>17.946000000000002</v>
      </c>
      <c r="CJ13" s="99">
        <v>18.033999999999999</v>
      </c>
      <c r="CK13" s="99">
        <v>18.122</v>
      </c>
      <c r="CL13" s="99">
        <v>18.21</v>
      </c>
      <c r="CM13" s="99">
        <v>18.297999999999998</v>
      </c>
      <c r="CN13" s="99">
        <v>18.385999999999999</v>
      </c>
      <c r="CO13" s="99">
        <v>18.474</v>
      </c>
      <c r="CP13" s="99">
        <v>18.562000000000001</v>
      </c>
      <c r="CQ13" s="99">
        <v>18.649999999999999</v>
      </c>
      <c r="CR13" s="99">
        <v>18.738</v>
      </c>
      <c r="CS13" s="99">
        <v>18.826000000000001</v>
      </c>
      <c r="CT13" s="99">
        <v>18.914000000000001</v>
      </c>
      <c r="CU13" s="99">
        <v>19.001999999999999</v>
      </c>
      <c r="CV13" s="99">
        <v>19.09</v>
      </c>
      <c r="CW13" s="99">
        <v>19.178000000000001</v>
      </c>
      <c r="CX13" s="99">
        <v>19.265999999999998</v>
      </c>
      <c r="CY13" s="99">
        <v>19.353999999999999</v>
      </c>
      <c r="CZ13" s="99">
        <v>19.442</v>
      </c>
      <c r="DA13" s="99">
        <v>19.53</v>
      </c>
      <c r="DB13" s="99">
        <v>19.617999999999999</v>
      </c>
      <c r="DC13" s="99">
        <v>19.706</v>
      </c>
      <c r="DD13" s="99">
        <v>19.794</v>
      </c>
      <c r="DE13" s="99">
        <v>19.882000000000001</v>
      </c>
      <c r="DF13" s="99">
        <v>19.97</v>
      </c>
      <c r="DG13" s="99">
        <v>20.058</v>
      </c>
      <c r="DH13" s="99">
        <v>20.146000000000001</v>
      </c>
      <c r="DI13" s="99">
        <v>20.234000000000002</v>
      </c>
      <c r="DJ13" s="99">
        <v>20.321999999999999</v>
      </c>
      <c r="DK13" s="99">
        <v>20.41</v>
      </c>
      <c r="DL13" s="99">
        <v>20.498000000000001</v>
      </c>
      <c r="DM13" s="99">
        <v>20.585999999999999</v>
      </c>
      <c r="DN13" s="99">
        <v>20.673999999999999</v>
      </c>
      <c r="DO13" s="99">
        <v>20.762</v>
      </c>
      <c r="DP13" s="99">
        <v>20.85</v>
      </c>
      <c r="DQ13" s="99">
        <v>20.937999999999999</v>
      </c>
      <c r="DR13" s="99">
        <v>21.026</v>
      </c>
      <c r="DS13" s="99">
        <v>21.114000000000001</v>
      </c>
      <c r="DT13" s="99">
        <v>21.202000000000002</v>
      </c>
      <c r="DU13" s="99">
        <v>21.29</v>
      </c>
      <c r="DV13" s="99">
        <v>21.378</v>
      </c>
      <c r="DW13" s="99">
        <v>21.466000000000001</v>
      </c>
      <c r="DX13" s="99">
        <v>21.553999999999998</v>
      </c>
      <c r="DY13" s="99">
        <v>21.641999999999999</v>
      </c>
      <c r="DZ13" s="99">
        <v>21.73</v>
      </c>
      <c r="EA13" s="99">
        <v>21.818000000000001</v>
      </c>
      <c r="EB13" s="99">
        <v>21.905999999999999</v>
      </c>
      <c r="EC13" s="99">
        <v>21.994</v>
      </c>
      <c r="ED13" s="99">
        <v>22.082000000000001</v>
      </c>
      <c r="EE13" s="99">
        <v>22.17</v>
      </c>
      <c r="EF13" s="99">
        <v>22.257999999999999</v>
      </c>
      <c r="EG13" s="99">
        <v>22.346</v>
      </c>
      <c r="EH13" s="99">
        <v>22.434000000000001</v>
      </c>
      <c r="EI13" s="99">
        <v>22.521999999999998</v>
      </c>
      <c r="EJ13" s="99">
        <v>22.61</v>
      </c>
      <c r="EK13" s="99">
        <v>22.698</v>
      </c>
      <c r="EL13" s="99">
        <v>22.786000000000001</v>
      </c>
      <c r="EM13" s="99">
        <v>22.873999999999999</v>
      </c>
      <c r="EN13" s="99">
        <v>22.962</v>
      </c>
      <c r="EO13" s="99">
        <v>23.05</v>
      </c>
      <c r="EP13" s="99">
        <v>23.138000000000002</v>
      </c>
      <c r="EQ13" s="99">
        <v>23.225999999999999</v>
      </c>
      <c r="ER13" s="99">
        <v>23.314</v>
      </c>
      <c r="ES13" s="99">
        <v>23.402000000000001</v>
      </c>
      <c r="ET13" s="99">
        <v>23.49</v>
      </c>
      <c r="EU13" s="99">
        <v>23.577999999999999</v>
      </c>
      <c r="EV13" s="99">
        <v>23.666</v>
      </c>
      <c r="EW13" s="99">
        <v>23.754000000000001</v>
      </c>
      <c r="EX13" s="99">
        <v>23.841999999999999</v>
      </c>
      <c r="EY13" s="99">
        <v>23.93</v>
      </c>
      <c r="EZ13" s="99">
        <v>24.018000000000001</v>
      </c>
      <c r="FA13" s="99">
        <v>24.106000000000002</v>
      </c>
      <c r="FB13" s="99">
        <v>24.193999999999999</v>
      </c>
      <c r="FC13" s="99">
        <v>24.282</v>
      </c>
      <c r="FD13" s="99">
        <v>24.37</v>
      </c>
      <c r="FE13" s="99">
        <v>24.457999999999998</v>
      </c>
      <c r="FF13" s="99">
        <v>24.545999999999999</v>
      </c>
      <c r="FG13" s="99">
        <v>24.634</v>
      </c>
      <c r="FH13" s="99">
        <v>24.722000000000001</v>
      </c>
      <c r="FI13" s="99">
        <v>24.81</v>
      </c>
      <c r="FJ13" s="99">
        <v>24.898</v>
      </c>
      <c r="FK13" s="99">
        <v>24.986000000000001</v>
      </c>
      <c r="FL13" s="99">
        <v>25.074000000000002</v>
      </c>
      <c r="FM13" s="99">
        <v>25.161999999999999</v>
      </c>
      <c r="FN13" s="99">
        <v>25.25</v>
      </c>
      <c r="FO13" s="99">
        <v>25.338000000000001</v>
      </c>
      <c r="FP13" s="99">
        <v>25.425999999999998</v>
      </c>
      <c r="FQ13" s="99">
        <v>25.513999999999999</v>
      </c>
      <c r="FR13" s="99">
        <v>25.602</v>
      </c>
      <c r="FS13" s="99">
        <v>25.69</v>
      </c>
      <c r="FT13" s="99">
        <v>25.777999999999999</v>
      </c>
      <c r="FU13" s="99">
        <v>25.866</v>
      </c>
      <c r="FV13" s="99">
        <v>25.954000000000001</v>
      </c>
      <c r="FW13" s="99">
        <v>26.042000000000002</v>
      </c>
      <c r="FX13" s="99">
        <v>26.13</v>
      </c>
      <c r="FY13" s="99">
        <v>26.218</v>
      </c>
      <c r="FZ13" s="99">
        <v>26.306000000000001</v>
      </c>
      <c r="GA13" s="99">
        <v>26.393999999999998</v>
      </c>
      <c r="GB13" s="99">
        <v>26.481999999999999</v>
      </c>
      <c r="GC13" s="99">
        <v>26.57</v>
      </c>
      <c r="GD13" s="99">
        <v>26.658000000000001</v>
      </c>
      <c r="GE13" s="99">
        <v>26.745999999999999</v>
      </c>
      <c r="GF13" s="99">
        <v>26.834</v>
      </c>
      <c r="GG13" s="99">
        <v>26.922000000000001</v>
      </c>
      <c r="GH13" s="99">
        <v>27.01</v>
      </c>
      <c r="GI13" s="99">
        <v>27.097999999999999</v>
      </c>
      <c r="GJ13" s="99">
        <v>27.186</v>
      </c>
      <c r="GK13" s="99">
        <v>27.274000000000001</v>
      </c>
      <c r="GL13" s="99">
        <v>27.361999999999998</v>
      </c>
      <c r="GM13" s="99">
        <v>27.45</v>
      </c>
      <c r="GN13" s="99">
        <v>27.538</v>
      </c>
      <c r="GO13" s="99">
        <v>27.626000000000001</v>
      </c>
      <c r="GP13" s="99">
        <v>27.713999999999999</v>
      </c>
      <c r="GQ13" s="99">
        <v>27.802</v>
      </c>
      <c r="GR13" s="99">
        <v>27.89</v>
      </c>
      <c r="GS13" s="99">
        <v>27.978000000000002</v>
      </c>
      <c r="GT13" s="99">
        <v>28.065999999999999</v>
      </c>
      <c r="GU13" s="99">
        <v>28.154</v>
      </c>
      <c r="GV13" s="99">
        <v>28.242000000000001</v>
      </c>
      <c r="GW13" s="99">
        <v>28.33</v>
      </c>
      <c r="GX13" s="99">
        <v>28.417999999999999</v>
      </c>
      <c r="GY13" s="99">
        <v>28.506</v>
      </c>
      <c r="GZ13" s="99">
        <v>28.594000000000001</v>
      </c>
      <c r="HA13" s="99">
        <v>28.681999999999999</v>
      </c>
      <c r="HB13" s="99">
        <v>28.77</v>
      </c>
      <c r="HC13" s="99">
        <v>28.858000000000001</v>
      </c>
      <c r="HD13" s="99">
        <v>28.946000000000002</v>
      </c>
      <c r="HE13" s="99">
        <v>29.033999999999999</v>
      </c>
      <c r="HF13" s="99">
        <v>29.122</v>
      </c>
      <c r="HG13" s="99">
        <v>29.21</v>
      </c>
      <c r="HH13" s="99">
        <v>29.297999999999998</v>
      </c>
      <c r="HI13" s="99">
        <v>29.385999999999999</v>
      </c>
      <c r="HJ13" s="99">
        <v>29.474</v>
      </c>
      <c r="HK13" s="99">
        <v>29.562000000000001</v>
      </c>
      <c r="HL13" s="99">
        <v>29.65</v>
      </c>
      <c r="HM13" s="99">
        <v>29.738</v>
      </c>
      <c r="HN13" s="99">
        <v>29.826000000000001</v>
      </c>
      <c r="HO13" s="99">
        <v>29.914000000000001</v>
      </c>
      <c r="HP13" s="99">
        <v>30.001999999999999</v>
      </c>
      <c r="HQ13" s="99">
        <v>30.09</v>
      </c>
      <c r="HR13" s="99">
        <v>30.178000000000001</v>
      </c>
      <c r="HS13" s="99">
        <v>30.265999999999998</v>
      </c>
      <c r="HT13" s="99">
        <v>30.353999999999999</v>
      </c>
      <c r="HU13" s="99">
        <v>30.442</v>
      </c>
      <c r="HV13" s="99">
        <v>30.53</v>
      </c>
      <c r="HW13" s="99">
        <v>30.617999999999999</v>
      </c>
      <c r="HX13" s="99">
        <v>30.706</v>
      </c>
      <c r="HY13" s="99">
        <v>30.794</v>
      </c>
      <c r="HZ13" s="99">
        <v>30.882000000000001</v>
      </c>
      <c r="IA13" s="99">
        <v>30.97</v>
      </c>
      <c r="IB13" s="99">
        <v>31.058</v>
      </c>
      <c r="IC13" s="99">
        <v>31.146000000000001</v>
      </c>
      <c r="ID13" s="99">
        <v>31.234000000000002</v>
      </c>
      <c r="IE13" s="99">
        <v>31.321999999999999</v>
      </c>
      <c r="IF13" s="99">
        <v>31.41</v>
      </c>
      <c r="IG13" s="99">
        <v>31.498000000000001</v>
      </c>
      <c r="IH13" s="99">
        <v>31.585999999999999</v>
      </c>
      <c r="II13" s="99">
        <v>31.673999999999999</v>
      </c>
      <c r="IJ13" s="99">
        <v>31.762</v>
      </c>
      <c r="IK13" s="99">
        <v>31.85</v>
      </c>
      <c r="IL13" s="99">
        <v>31.937999999999999</v>
      </c>
      <c r="IM13" s="99">
        <v>32.026000000000003</v>
      </c>
      <c r="IN13" s="99">
        <v>32.113999999999997</v>
      </c>
      <c r="IO13" s="99">
        <v>32.201999999999998</v>
      </c>
      <c r="IP13" s="99">
        <v>32.29</v>
      </c>
      <c r="IQ13" s="99">
        <v>32.378</v>
      </c>
      <c r="IR13" s="99">
        <v>32.466000000000001</v>
      </c>
      <c r="IS13" s="99">
        <v>32.554000000000002</v>
      </c>
      <c r="IT13" s="99">
        <v>32.642000000000003</v>
      </c>
      <c r="IU13" s="99">
        <v>32.729999999999997</v>
      </c>
      <c r="IV13" s="99">
        <v>32.817999999999998</v>
      </c>
      <c r="IW13" s="99">
        <v>32.905999999999999</v>
      </c>
      <c r="IX13" s="99">
        <v>32.994</v>
      </c>
      <c r="IY13" s="99">
        <v>33.082000000000001</v>
      </c>
      <c r="IZ13" s="99">
        <v>33.17</v>
      </c>
      <c r="JA13" s="99">
        <v>33.258000000000003</v>
      </c>
      <c r="JB13" s="99">
        <v>33.345999999999997</v>
      </c>
      <c r="JC13" s="99">
        <v>33.433999999999997</v>
      </c>
      <c r="JD13" s="99">
        <v>33.521999999999998</v>
      </c>
      <c r="JE13" s="99">
        <v>33.61</v>
      </c>
      <c r="JF13" s="99">
        <v>33.698</v>
      </c>
      <c r="JG13" s="99">
        <v>33.786000000000001</v>
      </c>
      <c r="JH13" s="99">
        <v>33.874000000000002</v>
      </c>
      <c r="JI13" s="99">
        <v>33.962000000000003</v>
      </c>
      <c r="JJ13" s="99">
        <v>34.049999999999997</v>
      </c>
      <c r="JK13" s="99">
        <v>34.137999999999998</v>
      </c>
      <c r="JL13" s="99">
        <v>34.225999999999999</v>
      </c>
      <c r="JM13" s="99">
        <v>34.314</v>
      </c>
      <c r="JN13" s="99">
        <v>34.402000000000001</v>
      </c>
      <c r="JO13" s="99">
        <v>34.49</v>
      </c>
      <c r="JP13" s="99">
        <v>34.578000000000003</v>
      </c>
      <c r="JQ13" s="99">
        <v>34.665999999999997</v>
      </c>
      <c r="JR13" s="99">
        <v>34.753999999999998</v>
      </c>
      <c r="JS13" s="99">
        <v>34.841999999999999</v>
      </c>
      <c r="JT13" s="99">
        <v>34.93</v>
      </c>
      <c r="JU13" s="99">
        <v>35.018000000000001</v>
      </c>
      <c r="JV13" s="99">
        <v>35.106000000000002</v>
      </c>
      <c r="JW13" s="99">
        <v>35.194000000000003</v>
      </c>
      <c r="JX13" s="99">
        <v>35.281999999999996</v>
      </c>
      <c r="JY13" s="99">
        <v>35.369999999999997</v>
      </c>
      <c r="JZ13" s="99">
        <v>35.457999999999998</v>
      </c>
      <c r="KA13" s="99">
        <v>35.545999999999999</v>
      </c>
      <c r="KB13" s="99">
        <v>35.634</v>
      </c>
      <c r="KC13" s="99">
        <v>35.722000000000001</v>
      </c>
      <c r="KD13" s="99">
        <v>35.81</v>
      </c>
      <c r="KE13" s="99">
        <v>35.898000000000003</v>
      </c>
      <c r="KF13" s="99">
        <v>35.985999999999997</v>
      </c>
      <c r="KG13" s="99">
        <v>36.073999999999998</v>
      </c>
      <c r="KH13" s="99">
        <v>36.161999999999999</v>
      </c>
      <c r="KI13" s="99">
        <v>36.25</v>
      </c>
      <c r="KJ13" s="99">
        <v>36.338000000000001</v>
      </c>
      <c r="KK13" s="99">
        <v>36.426000000000002</v>
      </c>
      <c r="KL13" s="99">
        <v>36.514000000000003</v>
      </c>
      <c r="KM13" s="99">
        <v>36.601999999999997</v>
      </c>
      <c r="KN13" s="99">
        <v>36.69</v>
      </c>
      <c r="KO13" s="99">
        <v>36.777999999999999</v>
      </c>
      <c r="KP13" s="99">
        <v>36.866</v>
      </c>
      <c r="KQ13" s="99">
        <v>36.954000000000001</v>
      </c>
      <c r="KR13" s="99">
        <v>37.042000000000002</v>
      </c>
      <c r="KS13" s="99">
        <v>37.130000000000003</v>
      </c>
      <c r="KT13" s="99">
        <v>37.218000000000004</v>
      </c>
      <c r="KU13" s="99">
        <v>37.305999999999997</v>
      </c>
      <c r="KV13" s="99">
        <v>37.393999999999998</v>
      </c>
      <c r="KW13" s="99">
        <v>37.481999999999999</v>
      </c>
      <c r="KX13" s="99">
        <v>37.57</v>
      </c>
      <c r="KY13" s="99">
        <v>37.658000000000001</v>
      </c>
      <c r="KZ13" s="99">
        <v>37.746000000000002</v>
      </c>
      <c r="LA13" s="99">
        <v>37.834000000000003</v>
      </c>
      <c r="LB13" s="99">
        <v>37.921999999999997</v>
      </c>
      <c r="LC13" s="99">
        <v>38.01</v>
      </c>
      <c r="LD13" s="99">
        <v>38.097999999999999</v>
      </c>
      <c r="LE13" s="99">
        <v>38.186</v>
      </c>
      <c r="LF13" s="99">
        <v>38.274000000000001</v>
      </c>
      <c r="LG13" s="99">
        <v>38.362000000000002</v>
      </c>
      <c r="LH13" s="99">
        <v>38.450000000000003</v>
      </c>
      <c r="LI13" s="99">
        <v>38.537999999999997</v>
      </c>
      <c r="LJ13" s="99">
        <v>38.625999999999998</v>
      </c>
      <c r="LK13" s="99">
        <v>38.713999999999999</v>
      </c>
      <c r="LL13" s="99">
        <v>38.802</v>
      </c>
      <c r="LM13" s="99">
        <v>38.89</v>
      </c>
      <c r="LN13" s="99">
        <v>38.978000000000002</v>
      </c>
      <c r="LO13" s="99">
        <v>39.066000000000003</v>
      </c>
      <c r="LP13" s="99">
        <v>39.154000000000003</v>
      </c>
      <c r="LQ13" s="99">
        <v>39.241999999999997</v>
      </c>
      <c r="LR13" s="99">
        <v>39.33</v>
      </c>
      <c r="LS13" s="99">
        <v>39.417999999999999</v>
      </c>
      <c r="LT13" s="99">
        <v>39.506</v>
      </c>
      <c r="LU13" s="99">
        <v>39.594000000000001</v>
      </c>
      <c r="LV13" s="99">
        <v>39.682000000000002</v>
      </c>
      <c r="LW13" s="99">
        <v>39.770000000000003</v>
      </c>
      <c r="LX13" s="99">
        <v>39.857999999999997</v>
      </c>
      <c r="LY13" s="99">
        <v>39.945999999999998</v>
      </c>
      <c r="LZ13" s="99">
        <v>40.033999999999999</v>
      </c>
      <c r="MA13" s="99">
        <v>40.122</v>
      </c>
      <c r="MB13" s="99">
        <v>40.21</v>
      </c>
      <c r="MC13" s="99">
        <v>40.298000000000002</v>
      </c>
      <c r="MD13" s="99">
        <v>40.386000000000003</v>
      </c>
      <c r="ME13" s="99">
        <v>40.473999999999997</v>
      </c>
      <c r="MF13" s="99">
        <v>40.561999999999998</v>
      </c>
      <c r="MG13" s="99">
        <v>40.65</v>
      </c>
      <c r="MH13" s="99">
        <v>40.738</v>
      </c>
      <c r="MI13" s="99">
        <v>40.826000000000001</v>
      </c>
      <c r="MJ13" s="99">
        <v>40.914000000000001</v>
      </c>
      <c r="MK13" s="99">
        <v>41.002000000000002</v>
      </c>
      <c r="ML13" s="99">
        <v>41.09</v>
      </c>
      <c r="MM13" s="99">
        <v>41.177999999999997</v>
      </c>
      <c r="MN13" s="99">
        <v>41.265999999999998</v>
      </c>
      <c r="MO13" s="99">
        <v>41.353999999999999</v>
      </c>
      <c r="MP13" s="99">
        <v>41.442</v>
      </c>
      <c r="MQ13" s="99">
        <v>41.53</v>
      </c>
      <c r="MR13" s="99">
        <v>41.618000000000002</v>
      </c>
      <c r="MS13" s="99">
        <v>41.706000000000003</v>
      </c>
      <c r="MT13" s="99">
        <v>41.793999999999997</v>
      </c>
      <c r="MU13" s="99">
        <v>41.881999999999998</v>
      </c>
      <c r="MV13" s="99">
        <v>41.97</v>
      </c>
      <c r="MW13" s="99">
        <v>42.058</v>
      </c>
      <c r="MX13" s="99">
        <v>42.146000000000001</v>
      </c>
      <c r="MY13" s="99">
        <v>42.234000000000002</v>
      </c>
      <c r="MZ13" s="99">
        <v>42.322000000000003</v>
      </c>
      <c r="NA13" s="99">
        <v>42.41</v>
      </c>
      <c r="NB13" s="99">
        <v>42.497999999999998</v>
      </c>
      <c r="NC13" s="99">
        <v>42.585999999999999</v>
      </c>
      <c r="ND13" s="99">
        <v>42.673999999999999</v>
      </c>
      <c r="NE13" s="99">
        <v>42.762</v>
      </c>
      <c r="NF13" s="99">
        <v>42.85</v>
      </c>
      <c r="NG13" s="99">
        <v>42.938000000000002</v>
      </c>
      <c r="NH13" s="99">
        <v>43.026000000000003</v>
      </c>
      <c r="NI13" s="99">
        <v>43.113999999999997</v>
      </c>
      <c r="NJ13" s="99">
        <v>43.201999999999998</v>
      </c>
      <c r="NK13" s="99">
        <v>43.29</v>
      </c>
      <c r="NL13" s="99">
        <v>43.378</v>
      </c>
      <c r="NM13" s="99">
        <v>43.466000000000001</v>
      </c>
      <c r="NN13" s="99">
        <v>43.554000000000002</v>
      </c>
      <c r="NO13" s="99">
        <v>43.642000000000003</v>
      </c>
      <c r="NP13" s="99">
        <v>43.73</v>
      </c>
      <c r="NQ13" s="99">
        <v>43.817999999999998</v>
      </c>
      <c r="NR13" s="99">
        <v>43.905999999999999</v>
      </c>
      <c r="NS13" s="99">
        <v>43.994</v>
      </c>
      <c r="NT13" s="99">
        <v>44.082000000000001</v>
      </c>
      <c r="NU13" s="99">
        <v>44.17</v>
      </c>
      <c r="NV13" s="99">
        <v>44.258000000000003</v>
      </c>
      <c r="NW13" s="99">
        <v>44.345999999999997</v>
      </c>
      <c r="NX13" s="99">
        <v>44.433999999999997</v>
      </c>
      <c r="NY13" s="99">
        <v>44.521999999999998</v>
      </c>
      <c r="NZ13" s="99">
        <v>44.61</v>
      </c>
      <c r="OA13" s="99">
        <v>44.698</v>
      </c>
      <c r="OB13" s="99">
        <v>44.786000000000001</v>
      </c>
      <c r="OC13" s="99">
        <v>44.874000000000002</v>
      </c>
      <c r="OD13" s="99">
        <v>44.962000000000003</v>
      </c>
      <c r="OE13" s="99">
        <v>45.05</v>
      </c>
      <c r="OF13" s="99">
        <v>45.137999999999998</v>
      </c>
      <c r="OG13" s="99">
        <v>45.225999999999999</v>
      </c>
      <c r="OH13" s="99">
        <v>45.314</v>
      </c>
      <c r="OI13" s="99">
        <v>45.402000000000001</v>
      </c>
      <c r="OJ13" s="99">
        <v>45.49</v>
      </c>
      <c r="OK13" s="99">
        <v>45.578000000000003</v>
      </c>
      <c r="OL13" s="99">
        <v>45.665999999999997</v>
      </c>
      <c r="OM13" s="99">
        <v>45.753999999999998</v>
      </c>
      <c r="ON13" s="99">
        <v>45.841999999999999</v>
      </c>
      <c r="OO13" s="99">
        <v>45.93</v>
      </c>
      <c r="OP13" s="99">
        <v>46.018000000000001</v>
      </c>
      <c r="OQ13" s="99">
        <v>46.106000000000002</v>
      </c>
      <c r="OR13" s="99">
        <v>46.194000000000003</v>
      </c>
      <c r="OS13" s="99">
        <v>46.281999999999996</v>
      </c>
      <c r="OT13" s="99">
        <v>46.37</v>
      </c>
      <c r="OU13" s="99">
        <v>46.457999999999998</v>
      </c>
      <c r="OV13" s="99">
        <v>46.545999999999999</v>
      </c>
      <c r="OW13" s="99">
        <v>46.634</v>
      </c>
      <c r="OX13" s="99">
        <v>46.722000000000001</v>
      </c>
      <c r="OY13" s="99">
        <v>46.81</v>
      </c>
      <c r="OZ13" s="99">
        <v>46.898000000000003</v>
      </c>
      <c r="PA13" s="99">
        <v>46.985999999999997</v>
      </c>
      <c r="PB13" s="99">
        <v>47.073999999999998</v>
      </c>
      <c r="PC13" s="99">
        <v>47.161999999999999</v>
      </c>
      <c r="PD13" s="99">
        <v>47.25</v>
      </c>
      <c r="PE13" s="99">
        <v>47.338000000000001</v>
      </c>
      <c r="PF13" s="99">
        <v>47.426000000000002</v>
      </c>
      <c r="PG13" s="99">
        <v>47.514000000000003</v>
      </c>
      <c r="PH13" s="99">
        <v>47.601999999999997</v>
      </c>
      <c r="PI13" s="99">
        <v>47.69</v>
      </c>
      <c r="PJ13" s="99">
        <v>47.777999999999999</v>
      </c>
      <c r="PK13" s="99">
        <v>47.866</v>
      </c>
      <c r="PL13" s="99">
        <v>47.954000000000001</v>
      </c>
      <c r="PM13" s="99">
        <v>48.042000000000002</v>
      </c>
      <c r="PN13" s="99">
        <v>48.13</v>
      </c>
      <c r="PO13" s="99">
        <v>48.218000000000004</v>
      </c>
      <c r="PP13" s="99">
        <v>48.305999999999997</v>
      </c>
      <c r="PQ13" s="99">
        <v>48.393999999999998</v>
      </c>
      <c r="PR13" s="99">
        <v>48.481999999999999</v>
      </c>
      <c r="PS13" s="99">
        <v>48.57</v>
      </c>
      <c r="PT13" s="99">
        <v>48.658000000000001</v>
      </c>
      <c r="PU13" s="99">
        <v>48.746000000000002</v>
      </c>
      <c r="PV13" s="99">
        <v>48.834000000000003</v>
      </c>
      <c r="PW13" s="99">
        <v>48.921999999999997</v>
      </c>
      <c r="PX13" s="99">
        <v>49.01</v>
      </c>
      <c r="PY13" s="99">
        <v>49.097999999999999</v>
      </c>
      <c r="PZ13" s="99">
        <v>49.186</v>
      </c>
      <c r="QA13" s="99">
        <v>49.274000000000001</v>
      </c>
      <c r="QB13" s="99">
        <v>49.362000000000002</v>
      </c>
      <c r="QC13" s="99">
        <v>49.45</v>
      </c>
      <c r="QD13" s="99">
        <v>49.537999999999997</v>
      </c>
      <c r="QE13" s="99">
        <v>49.625999999999998</v>
      </c>
      <c r="QF13" s="99">
        <v>49.713999999999999</v>
      </c>
      <c r="QG13" s="99">
        <v>49.802</v>
      </c>
      <c r="QH13" s="99">
        <v>49.89</v>
      </c>
      <c r="QI13" s="99">
        <v>49.978000000000002</v>
      </c>
      <c r="QJ13" s="99">
        <v>50.066000000000003</v>
      </c>
      <c r="QK13" s="99">
        <v>50.154000000000003</v>
      </c>
      <c r="QL13" s="99">
        <v>50.241999999999997</v>
      </c>
      <c r="QM13" s="99">
        <v>50.33</v>
      </c>
      <c r="QN13" s="99">
        <v>50.417999999999999</v>
      </c>
      <c r="QO13" s="99">
        <v>50.506</v>
      </c>
      <c r="QP13" s="99">
        <v>50.594000000000001</v>
      </c>
      <c r="QQ13" s="99">
        <v>50.682000000000002</v>
      </c>
      <c r="QR13" s="99">
        <v>50.77</v>
      </c>
      <c r="QS13" s="99">
        <v>50.857999999999997</v>
      </c>
      <c r="QT13" s="99">
        <v>50.945999999999998</v>
      </c>
      <c r="QU13" s="99">
        <v>51.033999999999999</v>
      </c>
      <c r="QV13" s="99">
        <v>51.122</v>
      </c>
      <c r="QW13" s="99">
        <v>51.21</v>
      </c>
      <c r="QX13" s="99">
        <v>51.298000000000002</v>
      </c>
      <c r="QY13" s="99">
        <v>51.386000000000003</v>
      </c>
      <c r="QZ13" s="99">
        <v>51.473999999999997</v>
      </c>
      <c r="RA13" s="99">
        <v>51.561999999999998</v>
      </c>
      <c r="RB13" s="99">
        <v>51.65</v>
      </c>
      <c r="RC13" s="99">
        <v>51.738</v>
      </c>
      <c r="RD13" s="99">
        <v>51.826000000000001</v>
      </c>
      <c r="RE13" s="99">
        <v>51.914000000000001</v>
      </c>
      <c r="RF13" s="99">
        <v>52.002000000000002</v>
      </c>
      <c r="RG13" s="99">
        <v>52.09</v>
      </c>
      <c r="RH13" s="99">
        <v>52.177999999999997</v>
      </c>
      <c r="RI13" s="99">
        <v>52.265999999999998</v>
      </c>
      <c r="RJ13" s="99">
        <v>52.353999999999999</v>
      </c>
      <c r="RK13" s="99">
        <v>52.442</v>
      </c>
      <c r="RL13" s="99">
        <v>52.53</v>
      </c>
      <c r="RM13" s="99">
        <v>52.618000000000002</v>
      </c>
      <c r="RN13" s="99">
        <v>52.706000000000003</v>
      </c>
      <c r="RO13" s="99">
        <v>52.793999999999997</v>
      </c>
      <c r="RP13" s="99">
        <v>52.881999999999998</v>
      </c>
      <c r="RQ13" s="99">
        <v>52.97</v>
      </c>
      <c r="RR13" s="99">
        <v>53.058</v>
      </c>
      <c r="RS13" s="99">
        <v>53.146000000000001</v>
      </c>
      <c r="RT13" s="99">
        <v>53.234000000000002</v>
      </c>
      <c r="RU13" s="99">
        <v>53.322000000000003</v>
      </c>
      <c r="RV13" s="99">
        <v>53.41</v>
      </c>
      <c r="RW13" s="99">
        <v>53.497999999999998</v>
      </c>
      <c r="RX13" s="99">
        <v>53.585999999999999</v>
      </c>
      <c r="RY13" s="99">
        <v>53.673999999999999</v>
      </c>
      <c r="RZ13" s="99">
        <v>53.762</v>
      </c>
      <c r="SA13" s="99">
        <v>53.85</v>
      </c>
      <c r="SB13" s="99">
        <v>53.938000000000002</v>
      </c>
      <c r="SC13" s="99">
        <v>54.026000000000003</v>
      </c>
      <c r="SD13" s="99">
        <v>54.113999999999997</v>
      </c>
      <c r="SE13" s="99">
        <v>54.201999999999998</v>
      </c>
      <c r="SF13" s="99">
        <v>54.29</v>
      </c>
      <c r="SG13" s="99">
        <v>54.378</v>
      </c>
      <c r="SH13" s="99">
        <v>54.466000000000001</v>
      </c>
      <c r="SI13" s="99">
        <v>54.554000000000002</v>
      </c>
      <c r="SJ13" s="99">
        <v>54.642000000000003</v>
      </c>
      <c r="SK13" s="99">
        <v>54.73</v>
      </c>
      <c r="SL13" s="99">
        <v>54.817999999999998</v>
      </c>
      <c r="SM13" s="99">
        <v>54.905999999999999</v>
      </c>
      <c r="SN13" s="99">
        <v>54.994</v>
      </c>
      <c r="SO13" s="99">
        <v>55.082000000000001</v>
      </c>
      <c r="SP13" s="99">
        <v>55.17</v>
      </c>
      <c r="SQ13" s="99">
        <v>55.258000000000003</v>
      </c>
      <c r="SR13" s="99">
        <v>55.345999999999997</v>
      </c>
      <c r="SS13" s="99">
        <v>55.433999999999997</v>
      </c>
      <c r="ST13" s="99">
        <v>55.521999999999998</v>
      </c>
      <c r="SU13" s="99">
        <v>55.61</v>
      </c>
      <c r="SV13" s="99">
        <v>55.698</v>
      </c>
      <c r="SW13" s="99">
        <v>55.786000000000001</v>
      </c>
      <c r="SX13" s="99">
        <v>55.874000000000002</v>
      </c>
      <c r="SY13" s="99">
        <v>55.962000000000003</v>
      </c>
      <c r="SZ13" s="99">
        <v>56.05</v>
      </c>
      <c r="TA13" s="99">
        <v>56.137999999999998</v>
      </c>
      <c r="TB13" s="99">
        <v>56.225999999999999</v>
      </c>
      <c r="TC13" s="99">
        <v>56.314</v>
      </c>
      <c r="TD13" s="99">
        <v>56.402000000000001</v>
      </c>
      <c r="TE13" s="99">
        <v>56.49</v>
      </c>
      <c r="TF13" s="99">
        <v>56.578000000000003</v>
      </c>
      <c r="TG13" s="99">
        <v>56.665999999999997</v>
      </c>
      <c r="TH13" s="99">
        <v>56.753999999999998</v>
      </c>
      <c r="TI13" s="99">
        <v>56.841999999999999</v>
      </c>
      <c r="TJ13" s="99">
        <v>56.93</v>
      </c>
      <c r="TK13" s="99">
        <v>57.018000000000001</v>
      </c>
      <c r="TL13" s="99">
        <v>57.106000000000002</v>
      </c>
      <c r="TM13" s="99">
        <v>57.194000000000003</v>
      </c>
      <c r="TN13" s="99">
        <v>57.281999999999996</v>
      </c>
      <c r="TO13" s="99">
        <v>57.37</v>
      </c>
      <c r="TP13" s="99">
        <v>57.457999999999998</v>
      </c>
      <c r="TQ13" s="99">
        <v>57.545999999999999</v>
      </c>
      <c r="TR13" s="99">
        <v>57.634</v>
      </c>
      <c r="TS13" s="99">
        <v>57.722000000000001</v>
      </c>
      <c r="TT13" s="99">
        <v>57.81</v>
      </c>
      <c r="TU13" s="99">
        <v>57.898000000000003</v>
      </c>
      <c r="TV13" s="99">
        <v>57.985999999999997</v>
      </c>
      <c r="TW13" s="99">
        <v>58.073999999999998</v>
      </c>
      <c r="TX13" s="99">
        <v>58.161999999999999</v>
      </c>
      <c r="TY13" s="99">
        <v>58.25</v>
      </c>
      <c r="TZ13" s="99">
        <v>58.338000000000001</v>
      </c>
      <c r="UA13" s="99">
        <v>58.426000000000002</v>
      </c>
      <c r="UB13" s="99">
        <v>58.514000000000003</v>
      </c>
      <c r="UC13" s="99">
        <v>58.601999999999997</v>
      </c>
      <c r="UD13" s="99">
        <v>58.69</v>
      </c>
      <c r="UE13" s="99">
        <v>58.777999999999999</v>
      </c>
      <c r="UF13" s="99">
        <v>58.866</v>
      </c>
      <c r="UG13" s="99">
        <v>58.954000000000001</v>
      </c>
      <c r="UH13" s="99">
        <v>59.042000000000002</v>
      </c>
      <c r="UI13" s="99">
        <v>59.13</v>
      </c>
      <c r="UJ13" s="99">
        <v>59.218000000000004</v>
      </c>
      <c r="UK13" s="99">
        <v>59.305999999999997</v>
      </c>
      <c r="UL13" s="99">
        <v>59.393999999999998</v>
      </c>
      <c r="UM13" s="99">
        <v>59.481999999999999</v>
      </c>
      <c r="UN13" s="99">
        <v>59.57</v>
      </c>
      <c r="UO13" s="99">
        <v>59.658000000000001</v>
      </c>
      <c r="UP13" s="99">
        <v>59.746000000000002</v>
      </c>
      <c r="UQ13" s="99">
        <v>59.834000000000003</v>
      </c>
      <c r="UR13" s="99">
        <v>59.921999999999997</v>
      </c>
      <c r="US13" s="99">
        <v>60.01</v>
      </c>
      <c r="UT13" s="99">
        <v>60.097999999999999</v>
      </c>
    </row>
    <row r="14" spans="1:566" x14ac:dyDescent="0.2">
      <c r="A14" s="89">
        <v>4</v>
      </c>
      <c r="B14" s="90">
        <v>10.33</v>
      </c>
      <c r="C14" s="90">
        <v>10.42</v>
      </c>
      <c r="D14" s="90">
        <v>10.5</v>
      </c>
      <c r="E14" s="90">
        <v>10.59</v>
      </c>
      <c r="F14" s="90">
        <v>10.68</v>
      </c>
      <c r="G14" s="90">
        <v>10.76</v>
      </c>
      <c r="H14" s="90">
        <v>10.85</v>
      </c>
      <c r="I14" s="90">
        <v>10.94</v>
      </c>
      <c r="J14" s="90">
        <v>11.02</v>
      </c>
      <c r="K14" s="90">
        <v>11.11</v>
      </c>
      <c r="L14" s="90">
        <v>11.2</v>
      </c>
      <c r="M14" s="90">
        <v>11.28</v>
      </c>
      <c r="N14" s="90">
        <v>11.37</v>
      </c>
      <c r="O14" s="90">
        <v>11.46</v>
      </c>
      <c r="P14" s="90">
        <v>11.54</v>
      </c>
      <c r="Q14" s="90">
        <v>11.63</v>
      </c>
      <c r="R14" s="90">
        <v>11.72</v>
      </c>
      <c r="S14" s="90">
        <v>11.81</v>
      </c>
      <c r="T14" s="90">
        <v>11.89</v>
      </c>
      <c r="U14" s="91">
        <v>11.98</v>
      </c>
      <c r="V14" s="90">
        <v>12.07</v>
      </c>
      <c r="W14" s="90">
        <v>12.15</v>
      </c>
      <c r="X14" s="90">
        <v>12.24</v>
      </c>
      <c r="Y14" s="90">
        <v>12.33</v>
      </c>
      <c r="Z14" s="90">
        <v>12.41</v>
      </c>
      <c r="AA14" s="90">
        <v>12.5</v>
      </c>
      <c r="AB14" s="90">
        <v>12.59</v>
      </c>
      <c r="AC14" s="90">
        <v>12.67</v>
      </c>
      <c r="AD14" s="90">
        <v>12.76</v>
      </c>
      <c r="AE14" s="90">
        <v>12.85</v>
      </c>
      <c r="AF14" s="90">
        <v>12.93</v>
      </c>
      <c r="AG14" s="90">
        <v>13.02</v>
      </c>
      <c r="AH14" s="90">
        <v>13.11</v>
      </c>
      <c r="AI14" s="90">
        <v>13.2</v>
      </c>
      <c r="AJ14" s="90">
        <v>13.28</v>
      </c>
      <c r="AK14" s="90">
        <v>13.37</v>
      </c>
      <c r="AL14" s="90">
        <v>13.46</v>
      </c>
      <c r="AM14" s="90">
        <v>13.54</v>
      </c>
      <c r="AN14" s="90">
        <v>13.63</v>
      </c>
      <c r="AO14" s="91">
        <v>13.72</v>
      </c>
      <c r="AP14" s="90">
        <v>13.8036153846154</v>
      </c>
      <c r="AQ14" s="90">
        <v>13.890486866791701</v>
      </c>
      <c r="AR14" s="90">
        <v>13.977358348968099</v>
      </c>
      <c r="AS14" s="90">
        <v>14.0642298311445</v>
      </c>
      <c r="AT14" s="90">
        <v>14.151101313320799</v>
      </c>
      <c r="AU14" s="90">
        <v>14.2379727954972</v>
      </c>
      <c r="AV14" s="90">
        <v>14.324844277673501</v>
      </c>
      <c r="AW14" s="90">
        <v>14.411715759849899</v>
      </c>
      <c r="AX14" s="90">
        <v>14.4985872420263</v>
      </c>
      <c r="AY14" s="90">
        <v>14.585458724202599</v>
      </c>
      <c r="AZ14" s="90">
        <v>14.672330206379</v>
      </c>
      <c r="BA14" s="90">
        <v>14.759201688555301</v>
      </c>
      <c r="BB14" s="90">
        <v>14.8460731707317</v>
      </c>
      <c r="BC14" s="90">
        <v>14.9329446529081</v>
      </c>
      <c r="BD14" s="90">
        <v>15.019816135084399</v>
      </c>
      <c r="BE14" s="90">
        <v>15.1066876172608</v>
      </c>
      <c r="BF14" s="90">
        <v>15.193559099437101</v>
      </c>
      <c r="BG14" s="90">
        <v>15.2804305816135</v>
      </c>
      <c r="BH14" s="90">
        <v>15.3673020637899</v>
      </c>
      <c r="BI14" s="91">
        <v>15.454173545966199</v>
      </c>
      <c r="BJ14" s="90">
        <v>15.5410450281426</v>
      </c>
      <c r="BK14" s="99">
        <v>15.627916510318901</v>
      </c>
      <c r="BL14" s="99">
        <v>15.7147879924953</v>
      </c>
      <c r="BM14" s="99">
        <v>15.8016594746717</v>
      </c>
      <c r="BN14" s="99">
        <v>15.888530956847999</v>
      </c>
      <c r="BO14" s="99">
        <v>15.9754024390244</v>
      </c>
      <c r="BP14" s="99">
        <v>16.062273921200799</v>
      </c>
      <c r="BQ14" s="99">
        <v>16.149145403377101</v>
      </c>
      <c r="BR14" s="99">
        <v>16.2360168855535</v>
      </c>
      <c r="BS14" s="99">
        <v>16.322888367729799</v>
      </c>
      <c r="BT14" s="99">
        <v>16.409759849906202</v>
      </c>
      <c r="BU14" s="99">
        <v>16.4966313320826</v>
      </c>
      <c r="BV14" s="99">
        <v>16.5835028142589</v>
      </c>
      <c r="BW14" s="99">
        <v>16.670374296435298</v>
      </c>
      <c r="BX14" s="99">
        <v>16.757245778611601</v>
      </c>
      <c r="BY14" s="99">
        <v>16.844117260788</v>
      </c>
      <c r="BZ14" s="99">
        <v>16.930988742964399</v>
      </c>
      <c r="CA14" s="99">
        <v>17.017860225140701</v>
      </c>
      <c r="CB14" s="99">
        <v>17.1047317073171</v>
      </c>
      <c r="CC14" s="99">
        <v>17.191603189493399</v>
      </c>
      <c r="CD14" s="99">
        <v>17.278474671669802</v>
      </c>
      <c r="CE14" s="99">
        <v>17.3653461538462</v>
      </c>
      <c r="CF14" s="99">
        <v>17.4522176360225</v>
      </c>
      <c r="CG14" s="99">
        <v>17.539089118198898</v>
      </c>
      <c r="CH14" s="99">
        <v>17.625960600375201</v>
      </c>
      <c r="CI14" s="99">
        <v>17.7128320825516</v>
      </c>
      <c r="CJ14" s="99">
        <v>17.799703564727999</v>
      </c>
      <c r="CK14" s="99">
        <v>17.886575046904301</v>
      </c>
      <c r="CL14" s="99">
        <v>17.9734465290807</v>
      </c>
      <c r="CM14" s="99">
        <v>18.060318011256999</v>
      </c>
      <c r="CN14" s="99">
        <v>18.147189493433402</v>
      </c>
      <c r="CO14" s="99">
        <v>18.2340609756098</v>
      </c>
      <c r="CP14" s="99">
        <v>18.3209324577861</v>
      </c>
      <c r="CQ14" s="99">
        <v>18.407803939962498</v>
      </c>
      <c r="CR14" s="99">
        <v>18.494675422138801</v>
      </c>
      <c r="CS14" s="99">
        <v>18.5815469043152</v>
      </c>
      <c r="CT14" s="99">
        <v>18.668418386491599</v>
      </c>
      <c r="CU14" s="99">
        <v>18.755289868667901</v>
      </c>
      <c r="CV14" s="99">
        <v>18.8421613508443</v>
      </c>
      <c r="CW14" s="99">
        <v>18.929032833020599</v>
      </c>
      <c r="CX14" s="99">
        <v>19.015904315197002</v>
      </c>
      <c r="CY14" s="99">
        <v>19.1027757973734</v>
      </c>
      <c r="CZ14" s="99">
        <v>19.1896472795497</v>
      </c>
      <c r="DA14" s="99">
        <v>19.276518761726098</v>
      </c>
      <c r="DB14" s="99">
        <v>19.363390243902401</v>
      </c>
      <c r="DC14" s="99">
        <v>19.4502617260788</v>
      </c>
      <c r="DD14" s="99">
        <v>19.537133208255199</v>
      </c>
      <c r="DE14" s="99">
        <v>19.624004690431502</v>
      </c>
      <c r="DF14" s="99">
        <v>19.7108761726079</v>
      </c>
      <c r="DG14" s="99">
        <v>19.7977476547842</v>
      </c>
      <c r="DH14" s="99">
        <v>19.884619136960598</v>
      </c>
      <c r="DI14" s="99">
        <v>19.971490619137001</v>
      </c>
      <c r="DJ14" s="99">
        <v>20.0583621013133</v>
      </c>
      <c r="DK14" s="99">
        <v>20.145233583489699</v>
      </c>
      <c r="DL14" s="99">
        <v>20.232105065666001</v>
      </c>
      <c r="DM14" s="99">
        <v>20.3189765478424</v>
      </c>
      <c r="DN14" s="99">
        <v>20.405848030018799</v>
      </c>
      <c r="DO14" s="99">
        <v>20.492719512195102</v>
      </c>
      <c r="DP14" s="99">
        <v>20.5795909943715</v>
      </c>
      <c r="DQ14" s="99">
        <v>20.666462476547899</v>
      </c>
      <c r="DR14" s="99">
        <v>20.753333958724198</v>
      </c>
      <c r="DS14" s="99">
        <v>20.840205440900601</v>
      </c>
      <c r="DT14" s="99">
        <v>20.9270769230769</v>
      </c>
      <c r="DU14" s="99">
        <v>21.013948405253299</v>
      </c>
      <c r="DV14" s="99">
        <v>21.100819887429701</v>
      </c>
      <c r="DW14" s="99">
        <v>21.187691369606</v>
      </c>
      <c r="DX14" s="99">
        <v>21.274562851782399</v>
      </c>
      <c r="DY14" s="99">
        <v>21.361434333958801</v>
      </c>
      <c r="DZ14" s="99">
        <v>21.4483058161351</v>
      </c>
      <c r="EA14" s="99">
        <v>21.535177298311499</v>
      </c>
      <c r="EB14" s="99">
        <v>21.622048780487798</v>
      </c>
      <c r="EC14" s="99">
        <v>21.708920262664201</v>
      </c>
      <c r="ED14" s="99">
        <v>21.795791744840599</v>
      </c>
      <c r="EE14" s="99">
        <v>21.882663227016899</v>
      </c>
      <c r="EF14" s="99">
        <v>21.969534709193301</v>
      </c>
      <c r="EG14" s="99">
        <v>22.0564061913696</v>
      </c>
      <c r="EH14" s="99">
        <v>22.143277673545999</v>
      </c>
      <c r="EI14" s="99">
        <v>22.230149155722401</v>
      </c>
      <c r="EJ14" s="99">
        <v>22.3170206378987</v>
      </c>
      <c r="EK14" s="99">
        <v>22.403892120075099</v>
      </c>
      <c r="EL14" s="99">
        <v>22.490763602251398</v>
      </c>
      <c r="EM14" s="99">
        <v>22.577635084427801</v>
      </c>
      <c r="EN14" s="99">
        <v>22.664506566604199</v>
      </c>
      <c r="EO14" s="99">
        <v>22.751378048780499</v>
      </c>
      <c r="EP14" s="99">
        <v>22.838249530956901</v>
      </c>
      <c r="EQ14" s="99">
        <v>22.9251210131332</v>
      </c>
      <c r="ER14" s="99">
        <v>23.011992495309599</v>
      </c>
      <c r="ES14" s="99">
        <v>23.098863977486001</v>
      </c>
      <c r="ET14" s="99">
        <v>23.1857354596623</v>
      </c>
      <c r="EU14" s="99">
        <v>23.272606941838699</v>
      </c>
      <c r="EV14" s="99">
        <v>23.359478424014998</v>
      </c>
      <c r="EW14" s="99">
        <v>23.446349906191401</v>
      </c>
      <c r="EX14" s="99">
        <v>23.533221388367799</v>
      </c>
      <c r="EY14" s="99">
        <v>23.620092870544099</v>
      </c>
      <c r="EZ14" s="99">
        <v>23.706964352720501</v>
      </c>
      <c r="FA14" s="99">
        <v>23.7938358348968</v>
      </c>
      <c r="FB14" s="99">
        <v>23.880707317073199</v>
      </c>
      <c r="FC14" s="99">
        <v>23.967578799249601</v>
      </c>
      <c r="FD14" s="99">
        <v>24.0544502814259</v>
      </c>
      <c r="FE14" s="99">
        <v>24.141321763602299</v>
      </c>
      <c r="FF14" s="99">
        <v>24.228193245778598</v>
      </c>
      <c r="FG14" s="99">
        <v>24.315064727955001</v>
      </c>
      <c r="FH14" s="99">
        <v>24.401936210131399</v>
      </c>
      <c r="FI14" s="99">
        <v>24.488807692307699</v>
      </c>
      <c r="FJ14" s="99">
        <v>24.575679174484101</v>
      </c>
      <c r="FK14" s="99">
        <v>24.6625506566604</v>
      </c>
      <c r="FL14" s="99">
        <v>24.749422138836799</v>
      </c>
      <c r="FM14" s="99">
        <v>24.836293621013201</v>
      </c>
      <c r="FN14" s="99">
        <v>24.923165103189501</v>
      </c>
      <c r="FO14" s="99">
        <v>25.010036585365899</v>
      </c>
      <c r="FP14" s="99">
        <v>25.096908067542198</v>
      </c>
      <c r="FQ14" s="99">
        <v>25.183779549718601</v>
      </c>
      <c r="FR14" s="99">
        <v>25.270651031895</v>
      </c>
      <c r="FS14" s="99">
        <v>25.357522514071299</v>
      </c>
      <c r="FT14" s="99">
        <v>25.444393996247701</v>
      </c>
      <c r="FU14" s="99">
        <v>25.531265478424</v>
      </c>
      <c r="FV14" s="99">
        <v>25.618136960600399</v>
      </c>
      <c r="FW14" s="99">
        <v>25.705008442776801</v>
      </c>
      <c r="FX14" s="99">
        <v>25.791879924953101</v>
      </c>
      <c r="FY14" s="99">
        <v>25.878751407129499</v>
      </c>
      <c r="FZ14" s="99">
        <v>25.965622889305799</v>
      </c>
      <c r="GA14" s="99">
        <v>26.052494371482201</v>
      </c>
      <c r="GB14" s="99">
        <v>26.1393658536586</v>
      </c>
      <c r="GC14" s="99">
        <v>26.226237335834899</v>
      </c>
      <c r="GD14" s="99">
        <v>26.313108818011301</v>
      </c>
      <c r="GE14" s="99">
        <v>26.3999803001876</v>
      </c>
      <c r="GF14" s="99">
        <v>26.486851782363999</v>
      </c>
      <c r="GG14" s="99">
        <v>26.573723264540401</v>
      </c>
      <c r="GH14" s="99">
        <v>26.660594746716701</v>
      </c>
      <c r="GI14" s="99">
        <v>26.747466228893099</v>
      </c>
      <c r="GJ14" s="99">
        <v>26.834337711069399</v>
      </c>
      <c r="GK14" s="99">
        <v>26.921209193245801</v>
      </c>
      <c r="GL14" s="99">
        <v>27.0080806754222</v>
      </c>
      <c r="GM14" s="99">
        <v>27.094952157598499</v>
      </c>
      <c r="GN14" s="99">
        <v>27.181823639774901</v>
      </c>
      <c r="GO14" s="99">
        <v>27.2686951219512</v>
      </c>
      <c r="GP14" s="99">
        <v>27.355566604127599</v>
      </c>
      <c r="GQ14" s="99">
        <v>27.442438086304001</v>
      </c>
      <c r="GR14" s="99">
        <v>27.529309568480301</v>
      </c>
      <c r="GS14" s="99">
        <v>27.616181050656699</v>
      </c>
      <c r="GT14" s="99">
        <v>27.703052532832999</v>
      </c>
      <c r="GU14" s="99">
        <v>27.789924015009401</v>
      </c>
      <c r="GV14" s="99">
        <v>27.8767954971858</v>
      </c>
      <c r="GW14" s="99">
        <v>27.963666979362099</v>
      </c>
      <c r="GX14" s="99">
        <v>28.050538461538501</v>
      </c>
      <c r="GY14" s="99">
        <v>28.1374099437148</v>
      </c>
      <c r="GZ14" s="99">
        <v>28.224281425891199</v>
      </c>
      <c r="HA14" s="99">
        <v>28.311152908067601</v>
      </c>
      <c r="HB14" s="99">
        <v>28.398024390243901</v>
      </c>
      <c r="HC14" s="99">
        <v>28.484895872420299</v>
      </c>
      <c r="HD14" s="99">
        <v>28.571767354596599</v>
      </c>
      <c r="HE14" s="99">
        <v>28.658638836773001</v>
      </c>
      <c r="HF14" s="99">
        <v>28.7455103189494</v>
      </c>
      <c r="HG14" s="99">
        <v>28.832381801125699</v>
      </c>
      <c r="HH14" s="99">
        <v>28.919253283302101</v>
      </c>
      <c r="HI14" s="99">
        <v>29.0061247654784</v>
      </c>
      <c r="HJ14" s="99">
        <v>29.092996247654799</v>
      </c>
      <c r="HK14" s="99">
        <v>29.179867729831201</v>
      </c>
      <c r="HL14" s="99">
        <v>29.266739212007501</v>
      </c>
      <c r="HM14" s="99">
        <v>29.353610694183899</v>
      </c>
      <c r="HN14" s="99">
        <v>29.440482176360302</v>
      </c>
      <c r="HO14" s="99">
        <v>29.527353658536601</v>
      </c>
      <c r="HP14" s="99">
        <v>29.614225140713</v>
      </c>
      <c r="HQ14" s="99">
        <v>29.701096622889299</v>
      </c>
      <c r="HR14" s="99">
        <v>29.787968105065701</v>
      </c>
      <c r="HS14" s="99">
        <v>29.8748395872421</v>
      </c>
      <c r="HT14" s="99">
        <v>29.961711069418399</v>
      </c>
      <c r="HU14" s="99">
        <v>30.048582551594802</v>
      </c>
      <c r="HV14" s="99">
        <v>30.135454033771101</v>
      </c>
      <c r="HW14" s="99">
        <v>30.222325515947499</v>
      </c>
      <c r="HX14" s="99">
        <v>30.309196998123898</v>
      </c>
      <c r="HY14" s="99">
        <v>30.396068480300201</v>
      </c>
      <c r="HZ14" s="99">
        <v>30.4829399624766</v>
      </c>
      <c r="IA14" s="99">
        <v>30.569811444652899</v>
      </c>
      <c r="IB14" s="99">
        <v>30.656682926829301</v>
      </c>
      <c r="IC14" s="99">
        <v>30.7435544090057</v>
      </c>
      <c r="ID14" s="99">
        <v>30.830425891181999</v>
      </c>
      <c r="IE14" s="99">
        <v>30.917297373358402</v>
      </c>
      <c r="IF14" s="99">
        <v>31.004168855534701</v>
      </c>
      <c r="IG14" s="99">
        <v>31.0910403377111</v>
      </c>
      <c r="IH14" s="99">
        <v>31.177911819887498</v>
      </c>
      <c r="II14" s="99">
        <v>31.264783302063801</v>
      </c>
      <c r="IJ14" s="99">
        <v>31.3516547842402</v>
      </c>
      <c r="IK14" s="99">
        <v>31.438526266416499</v>
      </c>
      <c r="IL14" s="99">
        <v>31.525397748592901</v>
      </c>
      <c r="IM14" s="99">
        <v>31.6122692307693</v>
      </c>
      <c r="IN14" s="99">
        <v>31.699140712945599</v>
      </c>
      <c r="IO14" s="99">
        <v>31.786012195122002</v>
      </c>
      <c r="IP14" s="99">
        <v>31.872883677298301</v>
      </c>
      <c r="IQ14" s="99">
        <v>31.9597551594747</v>
      </c>
      <c r="IR14" s="99">
        <v>32.046626641651102</v>
      </c>
      <c r="IS14" s="99">
        <v>32.133498123827401</v>
      </c>
      <c r="IT14" s="99">
        <v>32.2203696060038</v>
      </c>
      <c r="IU14" s="99">
        <v>32.307241088180099</v>
      </c>
      <c r="IV14" s="99">
        <v>32.394112570356498</v>
      </c>
      <c r="IW14" s="99">
        <v>32.480984052532897</v>
      </c>
      <c r="IX14" s="99">
        <v>32.567855534709203</v>
      </c>
      <c r="IY14" s="99">
        <v>32.654727016885602</v>
      </c>
      <c r="IZ14" s="99">
        <v>32.741598499061901</v>
      </c>
      <c r="JA14" s="99">
        <v>32.8284699812383</v>
      </c>
      <c r="JB14" s="99">
        <v>32.915341463414698</v>
      </c>
      <c r="JC14" s="99">
        <v>33.002212945590998</v>
      </c>
      <c r="JD14" s="99">
        <v>33.089084427767403</v>
      </c>
      <c r="JE14" s="99">
        <v>33.175955909943703</v>
      </c>
      <c r="JF14" s="99">
        <v>33.262827392120101</v>
      </c>
      <c r="JG14" s="99">
        <v>33.3496988742965</v>
      </c>
      <c r="JH14" s="99">
        <v>33.436570356472799</v>
      </c>
      <c r="JI14" s="99">
        <v>33.523441838649198</v>
      </c>
      <c r="JJ14" s="99">
        <v>33.610313320825497</v>
      </c>
      <c r="JK14" s="99">
        <v>33.697184803001903</v>
      </c>
      <c r="JL14" s="99">
        <v>33.784056285178302</v>
      </c>
      <c r="JM14" s="99">
        <v>33.870927767354601</v>
      </c>
      <c r="JN14" s="99">
        <v>33.957799249531</v>
      </c>
      <c r="JO14" s="99">
        <v>34.044670731707299</v>
      </c>
      <c r="JP14" s="99">
        <v>34.131542213883698</v>
      </c>
      <c r="JQ14" s="99">
        <v>34.218413696060097</v>
      </c>
      <c r="JR14" s="99">
        <v>34.305285178236403</v>
      </c>
      <c r="JS14" s="99">
        <v>34.392156660412802</v>
      </c>
      <c r="JT14" s="99">
        <v>34.479028142589101</v>
      </c>
      <c r="JU14" s="99">
        <v>34.5658996247655</v>
      </c>
      <c r="JV14" s="99">
        <v>34.652771106941898</v>
      </c>
      <c r="JW14" s="99">
        <v>34.739642589118198</v>
      </c>
      <c r="JX14" s="99">
        <v>34.826514071294604</v>
      </c>
      <c r="JY14" s="99">
        <v>34.913385553470903</v>
      </c>
      <c r="JZ14" s="99">
        <v>35.000257035647302</v>
      </c>
      <c r="KA14" s="99">
        <v>35.0871285178237</v>
      </c>
      <c r="KB14" s="99">
        <v>35.173999999999999</v>
      </c>
      <c r="KC14" s="99">
        <v>35.260871482176398</v>
      </c>
      <c r="KD14" s="99">
        <v>35.347742964352697</v>
      </c>
      <c r="KE14" s="99">
        <v>35.434614446529103</v>
      </c>
      <c r="KF14" s="99">
        <v>35.521485928705502</v>
      </c>
      <c r="KG14" s="99">
        <v>35.608357410881801</v>
      </c>
      <c r="KH14" s="99">
        <v>35.6952288930582</v>
      </c>
      <c r="KI14" s="99">
        <v>35.782100375234499</v>
      </c>
      <c r="KJ14" s="99">
        <v>35.868971857410898</v>
      </c>
      <c r="KK14" s="99">
        <v>35.955843339587297</v>
      </c>
      <c r="KL14" s="99">
        <v>36.042714821763603</v>
      </c>
      <c r="KM14" s="99">
        <v>36.129586303940002</v>
      </c>
      <c r="KN14" s="99">
        <v>36.216457786116301</v>
      </c>
      <c r="KO14" s="99">
        <v>36.3033292682927</v>
      </c>
      <c r="KP14" s="99">
        <v>36.390200750469099</v>
      </c>
      <c r="KQ14" s="99">
        <v>36.477072232645398</v>
      </c>
      <c r="KR14" s="99">
        <v>36.563943714821797</v>
      </c>
      <c r="KS14" s="99">
        <v>36.650815196998202</v>
      </c>
      <c r="KT14" s="99">
        <v>36.737686679174502</v>
      </c>
      <c r="KU14" s="99">
        <v>36.8245581613509</v>
      </c>
      <c r="KV14" s="99">
        <v>36.9114296435272</v>
      </c>
      <c r="KW14" s="99">
        <v>36.998301125703598</v>
      </c>
      <c r="KX14" s="99">
        <v>37.085172607879997</v>
      </c>
      <c r="KY14" s="99">
        <v>37.172044090056303</v>
      </c>
      <c r="KZ14" s="99">
        <v>37.258915572232702</v>
      </c>
      <c r="LA14" s="99">
        <v>37.345787054409001</v>
      </c>
      <c r="LB14" s="99">
        <v>37.4326585365854</v>
      </c>
      <c r="LC14" s="99">
        <v>37.519530018761799</v>
      </c>
      <c r="LD14" s="99">
        <v>37.606401500938098</v>
      </c>
      <c r="LE14" s="99">
        <v>37.693272983114497</v>
      </c>
      <c r="LF14" s="99">
        <v>37.780144465290803</v>
      </c>
      <c r="LG14" s="99">
        <v>37.867015947467202</v>
      </c>
      <c r="LH14" s="99">
        <v>37.953887429643601</v>
      </c>
      <c r="LI14" s="99">
        <v>38.0407589118199</v>
      </c>
      <c r="LJ14" s="99">
        <v>38.127630393996299</v>
      </c>
      <c r="LK14" s="99">
        <v>38.214501876172598</v>
      </c>
      <c r="LL14" s="99">
        <v>38.301373358348997</v>
      </c>
      <c r="LM14" s="99">
        <v>38.388244840525402</v>
      </c>
      <c r="LN14" s="99">
        <v>38.475116322701702</v>
      </c>
      <c r="LO14" s="99">
        <v>38.5619878048781</v>
      </c>
      <c r="LP14" s="99">
        <v>38.6488592870544</v>
      </c>
      <c r="LQ14" s="99">
        <v>38.735730769230798</v>
      </c>
      <c r="LR14" s="99">
        <v>38.822602251407197</v>
      </c>
      <c r="LS14" s="99">
        <v>38.909473733583503</v>
      </c>
      <c r="LT14" s="99">
        <v>38.996345215759902</v>
      </c>
      <c r="LU14" s="99">
        <v>39.083216697936201</v>
      </c>
      <c r="LV14" s="99">
        <v>39.1700881801126</v>
      </c>
      <c r="LW14" s="99">
        <v>39.256959662288999</v>
      </c>
      <c r="LX14" s="99">
        <v>39.343831144465298</v>
      </c>
      <c r="LY14" s="99">
        <v>39.430702626641697</v>
      </c>
      <c r="LZ14" s="99">
        <v>39.517574108818003</v>
      </c>
      <c r="MA14" s="99">
        <v>39.604445590994402</v>
      </c>
      <c r="MB14" s="99">
        <v>39.691317073170801</v>
      </c>
      <c r="MC14" s="99">
        <v>39.7781885553471</v>
      </c>
      <c r="MD14" s="99">
        <v>39.865060037523499</v>
      </c>
      <c r="ME14" s="99">
        <v>39.951931519699798</v>
      </c>
      <c r="MF14" s="99">
        <v>40.038803001876197</v>
      </c>
      <c r="MG14" s="99">
        <v>40.125674484052603</v>
      </c>
      <c r="MH14" s="99">
        <v>40.212545966228902</v>
      </c>
      <c r="MI14" s="99">
        <v>40.2994174484053</v>
      </c>
      <c r="MJ14" s="99">
        <v>40.3862889305816</v>
      </c>
      <c r="MK14" s="99">
        <v>40.473160412757998</v>
      </c>
      <c r="ML14" s="99">
        <v>40.560031894934397</v>
      </c>
      <c r="MM14" s="99">
        <v>40.646903377110696</v>
      </c>
      <c r="MN14" s="99">
        <v>40.733774859287102</v>
      </c>
      <c r="MO14" s="99">
        <v>40.820646341463402</v>
      </c>
      <c r="MP14" s="99">
        <v>40.9075178236398</v>
      </c>
      <c r="MQ14" s="99">
        <v>40.994389305816199</v>
      </c>
      <c r="MR14" s="99">
        <v>41.081260787992498</v>
      </c>
      <c r="MS14" s="99">
        <v>41.168132270168897</v>
      </c>
      <c r="MT14" s="99">
        <v>41.255003752345203</v>
      </c>
      <c r="MU14" s="99">
        <v>41.341875234521602</v>
      </c>
      <c r="MV14" s="99">
        <v>41.428746716698001</v>
      </c>
      <c r="MW14" s="99">
        <v>41.5156181988743</v>
      </c>
      <c r="MX14" s="99">
        <v>41.602489681050699</v>
      </c>
      <c r="MY14" s="99">
        <v>41.689361163226998</v>
      </c>
      <c r="MZ14" s="99">
        <v>41.776232645403397</v>
      </c>
      <c r="NA14" s="99">
        <v>41.863104127579803</v>
      </c>
      <c r="NB14" s="99">
        <v>41.949975609756102</v>
      </c>
      <c r="NC14" s="99">
        <v>42.036847091932501</v>
      </c>
      <c r="ND14" s="99">
        <v>42.1237185741088</v>
      </c>
      <c r="NE14" s="99">
        <v>42.210590056285199</v>
      </c>
      <c r="NF14" s="99">
        <v>42.297461538461597</v>
      </c>
      <c r="NG14" s="99">
        <v>42.384333020637897</v>
      </c>
      <c r="NH14" s="99">
        <v>42.471204502814302</v>
      </c>
      <c r="NI14" s="99">
        <v>42.558075984990602</v>
      </c>
      <c r="NJ14" s="99">
        <v>42.644947467167</v>
      </c>
      <c r="NK14" s="99">
        <v>42.731818949343399</v>
      </c>
      <c r="NL14" s="99">
        <v>42.818690431519698</v>
      </c>
      <c r="NM14" s="99">
        <v>42.905561913696097</v>
      </c>
      <c r="NN14" s="99">
        <v>42.992433395872403</v>
      </c>
      <c r="NO14" s="99">
        <v>43.079304878048802</v>
      </c>
      <c r="NP14" s="99">
        <v>43.166176360225201</v>
      </c>
      <c r="NQ14" s="99">
        <v>43.2530478424015</v>
      </c>
      <c r="NR14" s="99">
        <v>43.339919324577899</v>
      </c>
      <c r="NS14" s="99">
        <v>43.426790806754298</v>
      </c>
      <c r="NT14" s="99">
        <v>43.513662288930597</v>
      </c>
      <c r="NU14" s="99">
        <v>43.600533771107003</v>
      </c>
      <c r="NV14" s="99">
        <v>43.687405253283302</v>
      </c>
      <c r="NW14" s="99">
        <v>43.774276735459701</v>
      </c>
      <c r="NX14" s="99">
        <v>43.861148217636099</v>
      </c>
      <c r="NY14" s="99">
        <v>43.948019699812399</v>
      </c>
      <c r="NZ14" s="99">
        <v>44.034891181988797</v>
      </c>
      <c r="OA14" s="99">
        <v>44.121762664165097</v>
      </c>
      <c r="OB14" s="99">
        <v>44.208634146341502</v>
      </c>
      <c r="OC14" s="99">
        <v>44.295505628517901</v>
      </c>
      <c r="OD14" s="99">
        <v>44.3823771106942</v>
      </c>
      <c r="OE14" s="99">
        <v>44.469248592870599</v>
      </c>
      <c r="OF14" s="99">
        <v>44.556120075046898</v>
      </c>
      <c r="OG14" s="99">
        <v>44.642991557223297</v>
      </c>
      <c r="OH14" s="99">
        <v>44.729863039399604</v>
      </c>
      <c r="OI14" s="99">
        <v>44.816734521576002</v>
      </c>
      <c r="OJ14" s="99">
        <v>44.903606003752401</v>
      </c>
      <c r="OK14" s="99">
        <v>44.9904774859287</v>
      </c>
      <c r="OL14" s="99">
        <v>45.077348968105099</v>
      </c>
      <c r="OM14" s="99">
        <v>45.164220450281498</v>
      </c>
      <c r="ON14" s="99">
        <v>45.251091932457797</v>
      </c>
      <c r="OO14" s="99">
        <v>45.337963414634203</v>
      </c>
      <c r="OP14" s="99">
        <v>45.424834896810502</v>
      </c>
      <c r="OQ14" s="99">
        <v>45.511706378986901</v>
      </c>
      <c r="OR14" s="99">
        <v>45.598577861163299</v>
      </c>
      <c r="OS14" s="99">
        <v>45.685449343339599</v>
      </c>
      <c r="OT14" s="99">
        <v>45.772320825515997</v>
      </c>
      <c r="OU14" s="99">
        <v>45.859192307692297</v>
      </c>
      <c r="OV14" s="99">
        <v>45.946063789868703</v>
      </c>
      <c r="OW14" s="99">
        <v>46.032935272045101</v>
      </c>
      <c r="OX14" s="99">
        <v>46.119806754221401</v>
      </c>
      <c r="OY14" s="99">
        <v>46.206678236397799</v>
      </c>
      <c r="OZ14" s="99">
        <v>46.293549718574099</v>
      </c>
      <c r="PA14" s="99">
        <v>46.380421200750497</v>
      </c>
      <c r="PB14" s="99">
        <v>46.467292682926903</v>
      </c>
      <c r="PC14" s="99">
        <v>46.554164165103202</v>
      </c>
      <c r="PD14" s="99">
        <v>46.641035647279601</v>
      </c>
      <c r="PE14" s="99">
        <v>46.7279071294559</v>
      </c>
      <c r="PF14" s="99">
        <v>46.814778611632299</v>
      </c>
      <c r="PG14" s="99">
        <v>46.901650093808698</v>
      </c>
      <c r="PH14" s="99">
        <v>46.988521575984997</v>
      </c>
      <c r="PI14" s="99">
        <v>47.075393058161403</v>
      </c>
      <c r="PJ14" s="99">
        <v>47.162264540337702</v>
      </c>
      <c r="PK14" s="99">
        <v>47.249136022514101</v>
      </c>
      <c r="PL14" s="99">
        <v>47.3360075046905</v>
      </c>
      <c r="PM14" s="99">
        <v>47.422878986866799</v>
      </c>
      <c r="PN14" s="99">
        <v>47.509750469043198</v>
      </c>
      <c r="PO14" s="99">
        <v>47.596621951219497</v>
      </c>
      <c r="PP14" s="99">
        <v>47.683493433395903</v>
      </c>
      <c r="PQ14" s="99">
        <v>47.770364915572301</v>
      </c>
      <c r="PR14" s="99">
        <v>47.857236397748601</v>
      </c>
      <c r="PS14" s="99">
        <v>47.944107879924999</v>
      </c>
      <c r="PT14" s="99">
        <v>48.030979362101299</v>
      </c>
      <c r="PU14" s="99">
        <v>48.117850844277697</v>
      </c>
      <c r="PV14" s="99">
        <v>48.204722326454103</v>
      </c>
      <c r="PW14" s="99">
        <v>48.291593808630402</v>
      </c>
      <c r="PX14" s="99">
        <v>48.378465290806801</v>
      </c>
      <c r="PY14" s="99">
        <v>48.4653367729831</v>
      </c>
      <c r="PZ14" s="99">
        <v>48.552208255159499</v>
      </c>
      <c r="QA14" s="99">
        <v>48.639079737335898</v>
      </c>
      <c r="QB14" s="99">
        <v>48.725951219512197</v>
      </c>
      <c r="QC14" s="99">
        <v>48.812822701688603</v>
      </c>
      <c r="QD14" s="99">
        <v>48.899694183864902</v>
      </c>
      <c r="QE14" s="99">
        <v>48.986565666041301</v>
      </c>
      <c r="QF14" s="99">
        <v>49.0734371482177</v>
      </c>
      <c r="QG14" s="99">
        <v>49.160308630393999</v>
      </c>
      <c r="QH14" s="99">
        <v>49.247180112570398</v>
      </c>
      <c r="QI14" s="99">
        <v>49.334051594746697</v>
      </c>
      <c r="QJ14" s="99">
        <v>49.420923076923103</v>
      </c>
      <c r="QK14" s="99">
        <v>49.507794559099501</v>
      </c>
      <c r="QL14" s="99">
        <v>49.594666041275801</v>
      </c>
      <c r="QM14" s="99">
        <v>49.681537523452199</v>
      </c>
      <c r="QN14" s="99">
        <v>49.768409005628499</v>
      </c>
      <c r="QO14" s="99">
        <v>49.855280487804897</v>
      </c>
      <c r="QP14" s="99">
        <v>49.942151969981303</v>
      </c>
      <c r="QQ14" s="99">
        <v>50.029023452157602</v>
      </c>
      <c r="QR14" s="99">
        <v>50.115894934334001</v>
      </c>
      <c r="QS14" s="99">
        <v>50.2027664165103</v>
      </c>
      <c r="QT14" s="99">
        <v>50.289637898686699</v>
      </c>
      <c r="QU14" s="99">
        <v>50.376509380863098</v>
      </c>
      <c r="QV14" s="99">
        <v>50.463380863039397</v>
      </c>
      <c r="QW14" s="99">
        <v>50.550252345215803</v>
      </c>
      <c r="QX14" s="99">
        <v>50.637123827392102</v>
      </c>
      <c r="QY14" s="99">
        <v>50.723995309568501</v>
      </c>
      <c r="QZ14" s="99">
        <v>50.8108667917449</v>
      </c>
      <c r="RA14" s="99">
        <v>50.897738273921199</v>
      </c>
      <c r="RB14" s="99">
        <v>50.984609756097598</v>
      </c>
      <c r="RC14" s="99">
        <v>51.071481238273897</v>
      </c>
      <c r="RD14" s="99">
        <v>51.158352720450303</v>
      </c>
      <c r="RE14" s="99">
        <v>51.245224202626702</v>
      </c>
      <c r="RF14" s="99">
        <v>51.332095684803001</v>
      </c>
      <c r="RG14" s="99">
        <v>51.4189671669794</v>
      </c>
      <c r="RH14" s="99">
        <v>51.505838649155798</v>
      </c>
      <c r="RI14" s="99">
        <v>51.592710131332097</v>
      </c>
      <c r="RJ14" s="99">
        <v>51.679581613508503</v>
      </c>
      <c r="RK14" s="99">
        <v>51.766453095684803</v>
      </c>
      <c r="RL14" s="99">
        <v>51.853324577861201</v>
      </c>
      <c r="RM14" s="99">
        <v>51.9401960600376</v>
      </c>
      <c r="RN14" s="99">
        <v>52.027067542213899</v>
      </c>
      <c r="RO14" s="99">
        <v>52.113939024390298</v>
      </c>
      <c r="RP14" s="99">
        <v>52.200810506566597</v>
      </c>
      <c r="RQ14" s="99">
        <v>52.287681988743003</v>
      </c>
      <c r="RR14" s="99">
        <v>52.374553470919402</v>
      </c>
      <c r="RS14" s="99">
        <v>52.461424953095701</v>
      </c>
      <c r="RT14" s="99">
        <v>52.5482964352721</v>
      </c>
      <c r="RU14" s="99">
        <v>52.635167917448399</v>
      </c>
      <c r="RV14" s="99">
        <v>52.722039399624798</v>
      </c>
      <c r="RW14" s="99">
        <v>52.808910881801197</v>
      </c>
      <c r="RX14" s="99">
        <v>52.895782363977503</v>
      </c>
      <c r="RY14" s="99">
        <v>52.982653846153902</v>
      </c>
      <c r="RZ14" s="99">
        <v>53.069525328330201</v>
      </c>
      <c r="SA14" s="99">
        <v>53.1563968105066</v>
      </c>
      <c r="SB14" s="99">
        <v>53.243268292682998</v>
      </c>
      <c r="SC14" s="99">
        <v>53.330139774859298</v>
      </c>
      <c r="SD14" s="99">
        <v>53.417011257035703</v>
      </c>
      <c r="SE14" s="99">
        <v>53.503882739212003</v>
      </c>
      <c r="SF14" s="99">
        <v>53.590754221388401</v>
      </c>
      <c r="SG14" s="99">
        <v>53.6776257035648</v>
      </c>
      <c r="SH14" s="99">
        <v>53.764497185741099</v>
      </c>
      <c r="SI14" s="99">
        <v>53.851368667917498</v>
      </c>
      <c r="SJ14" s="99">
        <v>53.938240150093797</v>
      </c>
      <c r="SK14" s="99">
        <v>54.025111632270203</v>
      </c>
      <c r="SL14" s="99">
        <v>54.111983114446602</v>
      </c>
      <c r="SM14" s="99">
        <v>54.198854596622901</v>
      </c>
      <c r="SN14" s="99">
        <v>54.2857260787993</v>
      </c>
      <c r="SO14" s="99">
        <v>54.372597560975599</v>
      </c>
      <c r="SP14" s="99">
        <v>54.459469043151998</v>
      </c>
      <c r="SQ14" s="99">
        <v>54.546340525328397</v>
      </c>
      <c r="SR14" s="99">
        <v>54.633212007504703</v>
      </c>
      <c r="SS14" s="99">
        <v>54.720083489681102</v>
      </c>
      <c r="ST14" s="99">
        <v>54.806954971857401</v>
      </c>
      <c r="SU14" s="99">
        <v>54.8938264540338</v>
      </c>
      <c r="SV14" s="99">
        <v>54.980697936210198</v>
      </c>
      <c r="SW14" s="99">
        <v>55.067569418386498</v>
      </c>
      <c r="SX14" s="99">
        <v>55.154440900562903</v>
      </c>
      <c r="SY14" s="99">
        <v>55.241312382739203</v>
      </c>
      <c r="SZ14" s="99">
        <v>55.328183864915601</v>
      </c>
      <c r="TA14" s="99">
        <v>55.415055347092</v>
      </c>
      <c r="TB14" s="99">
        <v>55.501926829268299</v>
      </c>
      <c r="TC14" s="99">
        <v>55.588798311444698</v>
      </c>
      <c r="TD14" s="99">
        <v>55.675669793620997</v>
      </c>
      <c r="TE14" s="99">
        <v>55.762541275797403</v>
      </c>
      <c r="TF14" s="99">
        <v>55.849412757973802</v>
      </c>
      <c r="TG14" s="99">
        <v>55.936284240150101</v>
      </c>
      <c r="TH14" s="99">
        <v>56.0231557223265</v>
      </c>
      <c r="TI14" s="99">
        <v>56.110027204502799</v>
      </c>
      <c r="TJ14" s="99">
        <v>56.196898686679198</v>
      </c>
      <c r="TK14" s="99">
        <v>56.283770168855597</v>
      </c>
      <c r="TL14" s="99">
        <v>56.370641651031903</v>
      </c>
      <c r="TM14" s="99">
        <v>56.457513133208302</v>
      </c>
      <c r="TN14" s="99">
        <v>56.544384615384601</v>
      </c>
      <c r="TO14" s="99">
        <v>56.631256097561</v>
      </c>
      <c r="TP14" s="99">
        <v>56.718127579737398</v>
      </c>
      <c r="TQ14" s="99">
        <v>56.804999061913698</v>
      </c>
      <c r="TR14" s="99">
        <v>56.891870544090096</v>
      </c>
      <c r="TS14" s="99">
        <v>56.978742026266403</v>
      </c>
      <c r="TT14" s="99">
        <v>57.065613508442802</v>
      </c>
      <c r="TU14" s="99">
        <v>57.1524849906192</v>
      </c>
      <c r="TV14" s="99">
        <v>57.2393564727955</v>
      </c>
      <c r="TW14" s="99">
        <v>57.326227954971898</v>
      </c>
      <c r="TX14" s="99">
        <v>57.413099437148198</v>
      </c>
      <c r="TY14" s="99">
        <v>57.499970919324603</v>
      </c>
      <c r="TZ14" s="99">
        <v>57.586842401501002</v>
      </c>
      <c r="UA14" s="99">
        <v>57.673713883677301</v>
      </c>
      <c r="UB14" s="99">
        <v>57.7605853658537</v>
      </c>
      <c r="UC14" s="99">
        <v>57.847456848029999</v>
      </c>
      <c r="UD14" s="99">
        <v>57.934328330206398</v>
      </c>
      <c r="UE14" s="99">
        <v>58.021199812382797</v>
      </c>
      <c r="UF14" s="99">
        <v>58.108071294559103</v>
      </c>
      <c r="UG14" s="99">
        <v>58.194942776735502</v>
      </c>
      <c r="UH14" s="99">
        <v>58.281814258911801</v>
      </c>
      <c r="UI14" s="99">
        <v>58.3686857410882</v>
      </c>
      <c r="UJ14" s="99">
        <v>58.455557223264599</v>
      </c>
      <c r="UK14" s="99">
        <v>58.542428705440898</v>
      </c>
      <c r="UL14" s="99">
        <v>58.629300187617297</v>
      </c>
      <c r="UM14" s="99">
        <v>58.716171669793603</v>
      </c>
      <c r="UN14" s="99">
        <v>58.803043151970002</v>
      </c>
      <c r="UO14" s="99">
        <v>58.8899146341464</v>
      </c>
      <c r="UP14" s="99">
        <v>58.9767861163227</v>
      </c>
      <c r="UQ14" s="99">
        <v>59.063657598499098</v>
      </c>
      <c r="UR14" s="99">
        <v>59.150529080675398</v>
      </c>
      <c r="US14" s="99">
        <v>59.237400562851803</v>
      </c>
      <c r="UT14" s="99">
        <v>59.324272045028202</v>
      </c>
    </row>
    <row r="15" spans="1:566" x14ac:dyDescent="0.2">
      <c r="A15" s="89">
        <v>4.5</v>
      </c>
      <c r="B15" s="90">
        <v>10.19</v>
      </c>
      <c r="C15" s="90">
        <v>10.28</v>
      </c>
      <c r="D15" s="90">
        <v>10.36</v>
      </c>
      <c r="E15" s="90">
        <v>10.45</v>
      </c>
      <c r="F15" s="90">
        <v>10.54</v>
      </c>
      <c r="G15" s="90">
        <v>10.62</v>
      </c>
      <c r="H15" s="90">
        <v>10.71</v>
      </c>
      <c r="I15" s="90">
        <v>10.79</v>
      </c>
      <c r="J15" s="90">
        <v>10.88</v>
      </c>
      <c r="K15" s="90">
        <v>10.97</v>
      </c>
      <c r="L15" s="90">
        <v>11.05</v>
      </c>
      <c r="M15" s="90">
        <v>11.14</v>
      </c>
      <c r="N15" s="90">
        <v>11.22</v>
      </c>
      <c r="O15" s="90">
        <v>11.31</v>
      </c>
      <c r="P15" s="90">
        <v>11.39</v>
      </c>
      <c r="Q15" s="90">
        <v>11.48</v>
      </c>
      <c r="R15" s="90">
        <v>11.57</v>
      </c>
      <c r="S15" s="90">
        <v>11.65</v>
      </c>
      <c r="T15" s="90">
        <v>11.74</v>
      </c>
      <c r="U15" s="91">
        <v>11.82</v>
      </c>
      <c r="V15" s="90">
        <v>11.91</v>
      </c>
      <c r="W15" s="90">
        <v>11.99</v>
      </c>
      <c r="X15" s="90">
        <v>12.08</v>
      </c>
      <c r="Y15" s="90">
        <v>12.17</v>
      </c>
      <c r="Z15" s="90">
        <v>12.25</v>
      </c>
      <c r="AA15" s="90">
        <v>12.34</v>
      </c>
      <c r="AB15" s="90">
        <v>12.42</v>
      </c>
      <c r="AC15" s="90">
        <v>12.51</v>
      </c>
      <c r="AD15" s="90">
        <v>12.59</v>
      </c>
      <c r="AE15" s="90">
        <v>12.68</v>
      </c>
      <c r="AF15" s="90">
        <v>12.77</v>
      </c>
      <c r="AG15" s="90">
        <v>12.85</v>
      </c>
      <c r="AH15" s="90">
        <v>12.94</v>
      </c>
      <c r="AI15" s="90">
        <v>13.02</v>
      </c>
      <c r="AJ15" s="90">
        <v>13.11</v>
      </c>
      <c r="AK15" s="90">
        <v>13.2</v>
      </c>
      <c r="AL15" s="90">
        <v>13.28</v>
      </c>
      <c r="AM15" s="90">
        <v>13.37</v>
      </c>
      <c r="AN15" s="90">
        <v>13.45</v>
      </c>
      <c r="AO15" s="91">
        <v>13.54</v>
      </c>
      <c r="AP15" s="90">
        <v>13.624499999999999</v>
      </c>
      <c r="AQ15" s="90">
        <v>13.7102926829268</v>
      </c>
      <c r="AR15" s="90">
        <v>13.796085365853701</v>
      </c>
      <c r="AS15" s="90">
        <v>13.8818780487805</v>
      </c>
      <c r="AT15" s="90">
        <v>13.967670731707299</v>
      </c>
      <c r="AU15" s="90">
        <v>14.0534634146341</v>
      </c>
      <c r="AV15" s="90">
        <v>14.139256097561001</v>
      </c>
      <c r="AW15" s="90">
        <v>14.2250487804878</v>
      </c>
      <c r="AX15" s="90">
        <v>14.310841463414601</v>
      </c>
      <c r="AY15" s="90">
        <v>14.3966341463415</v>
      </c>
      <c r="AZ15" s="90">
        <v>14.4824268292683</v>
      </c>
      <c r="BA15" s="90">
        <v>14.5682195121951</v>
      </c>
      <c r="BB15" s="90">
        <v>14.654012195121901</v>
      </c>
      <c r="BC15" s="90">
        <v>14.739804878048799</v>
      </c>
      <c r="BD15" s="90">
        <v>14.8255975609756</v>
      </c>
      <c r="BE15" s="90">
        <v>14.9113902439024</v>
      </c>
      <c r="BF15" s="90">
        <v>14.9971829268293</v>
      </c>
      <c r="BG15" s="90">
        <v>15.082975609756099</v>
      </c>
      <c r="BH15" s="90">
        <v>15.1687682926829</v>
      </c>
      <c r="BI15" s="91">
        <v>15.254560975609801</v>
      </c>
      <c r="BJ15" s="90">
        <v>15.3403536585366</v>
      </c>
      <c r="BK15" s="99">
        <v>15.426146341463401</v>
      </c>
      <c r="BL15" s="99">
        <v>15.5119390243902</v>
      </c>
      <c r="BM15" s="99">
        <v>15.5977317073171</v>
      </c>
      <c r="BN15" s="99">
        <v>15.6835243902439</v>
      </c>
      <c r="BO15" s="99">
        <v>15.769317073170701</v>
      </c>
      <c r="BP15" s="99">
        <v>15.855109756097599</v>
      </c>
      <c r="BQ15" s="99">
        <v>15.9409024390244</v>
      </c>
      <c r="BR15" s="99">
        <v>16.026695121951199</v>
      </c>
      <c r="BS15" s="99">
        <v>16.1124878048781</v>
      </c>
      <c r="BT15" s="99">
        <v>16.198280487804901</v>
      </c>
      <c r="BU15" s="99">
        <v>16.284073170731698</v>
      </c>
      <c r="BV15" s="99">
        <v>16.369865853658499</v>
      </c>
      <c r="BW15" s="99">
        <v>16.4556585365854</v>
      </c>
      <c r="BX15" s="99">
        <v>16.541451219512201</v>
      </c>
      <c r="BY15" s="99">
        <v>16.627243902439002</v>
      </c>
      <c r="BZ15" s="99">
        <v>16.713036585365799</v>
      </c>
      <c r="CA15" s="99">
        <v>16.7988292682927</v>
      </c>
      <c r="CB15" s="99">
        <v>16.884621951219501</v>
      </c>
      <c r="CC15" s="99">
        <v>16.970414634146302</v>
      </c>
      <c r="CD15" s="99">
        <v>17.056207317073198</v>
      </c>
      <c r="CE15" s="99">
        <v>17.141999999999999</v>
      </c>
      <c r="CF15" s="99">
        <v>17.2277926829268</v>
      </c>
      <c r="CG15" s="99">
        <v>17.313585365853701</v>
      </c>
      <c r="CH15" s="99">
        <v>17.399378048780498</v>
      </c>
      <c r="CI15" s="99">
        <v>17.485170731707299</v>
      </c>
      <c r="CJ15" s="99">
        <v>17.5709634146342</v>
      </c>
      <c r="CK15" s="99">
        <v>17.656756097561001</v>
      </c>
      <c r="CL15" s="99">
        <v>17.742548780487802</v>
      </c>
      <c r="CM15" s="99">
        <v>17.828341463414599</v>
      </c>
      <c r="CN15" s="99">
        <v>17.9141341463415</v>
      </c>
      <c r="CO15" s="99">
        <v>17.999926829268301</v>
      </c>
      <c r="CP15" s="99">
        <v>18.085719512195102</v>
      </c>
      <c r="CQ15" s="99">
        <v>18.171512195121899</v>
      </c>
      <c r="CR15" s="99">
        <v>18.257304878048799</v>
      </c>
      <c r="CS15" s="99">
        <v>18.3430975609756</v>
      </c>
      <c r="CT15" s="99">
        <v>18.428890243902401</v>
      </c>
      <c r="CU15" s="99">
        <v>18.514682926829298</v>
      </c>
      <c r="CV15" s="99">
        <v>18.600475609756099</v>
      </c>
      <c r="CW15" s="99">
        <v>18.6862682926829</v>
      </c>
      <c r="CX15" s="99">
        <v>18.772060975609801</v>
      </c>
      <c r="CY15" s="99">
        <v>18.857853658536602</v>
      </c>
      <c r="CZ15" s="99">
        <v>18.943646341463399</v>
      </c>
      <c r="DA15" s="99">
        <v>19.0294390243902</v>
      </c>
      <c r="DB15" s="99">
        <v>19.115231707317101</v>
      </c>
      <c r="DC15" s="99">
        <v>19.201024390243902</v>
      </c>
      <c r="DD15" s="99">
        <v>19.286817073170699</v>
      </c>
      <c r="DE15" s="99">
        <v>19.372609756097599</v>
      </c>
      <c r="DF15" s="99">
        <v>19.4584024390244</v>
      </c>
      <c r="DG15" s="99">
        <v>19.544195121951201</v>
      </c>
      <c r="DH15" s="99">
        <v>19.629987804877999</v>
      </c>
      <c r="DI15" s="99">
        <v>19.715780487804899</v>
      </c>
      <c r="DJ15" s="99">
        <v>19.8015731707317</v>
      </c>
      <c r="DK15" s="99">
        <v>19.887365853658501</v>
      </c>
      <c r="DL15" s="99">
        <v>19.973158536585402</v>
      </c>
      <c r="DM15" s="99">
        <v>20.058951219512199</v>
      </c>
      <c r="DN15" s="99">
        <v>20.144743902439</v>
      </c>
      <c r="DO15" s="99">
        <v>20.230536585365801</v>
      </c>
      <c r="DP15" s="99">
        <v>20.316329268292701</v>
      </c>
      <c r="DQ15" s="99">
        <v>20.402121951219499</v>
      </c>
      <c r="DR15" s="99">
        <v>20.4879146341463</v>
      </c>
      <c r="DS15" s="99">
        <v>20.573707317073101</v>
      </c>
      <c r="DT15" s="99">
        <v>20.659500000000001</v>
      </c>
      <c r="DU15" s="99">
        <v>20.745292682926799</v>
      </c>
      <c r="DV15" s="99">
        <v>20.8310853658536</v>
      </c>
      <c r="DW15" s="99">
        <v>20.9168780487805</v>
      </c>
      <c r="DX15" s="99">
        <v>21.002670731707301</v>
      </c>
      <c r="DY15" s="99">
        <v>21.088463414634099</v>
      </c>
      <c r="DZ15" s="99">
        <v>21.1742560975609</v>
      </c>
      <c r="EA15" s="99">
        <v>21.2600487804878</v>
      </c>
      <c r="EB15" s="99">
        <v>21.345841463414601</v>
      </c>
      <c r="EC15" s="99">
        <v>21.431634146341398</v>
      </c>
      <c r="ED15" s="99">
        <v>21.517426829268299</v>
      </c>
      <c r="EE15" s="99">
        <v>21.6032195121951</v>
      </c>
      <c r="EF15" s="99">
        <v>21.689012195121901</v>
      </c>
      <c r="EG15" s="99">
        <v>21.774804878048801</v>
      </c>
      <c r="EH15" s="99">
        <v>21.860597560975599</v>
      </c>
      <c r="EI15" s="99">
        <v>21.9463902439024</v>
      </c>
      <c r="EJ15" s="99">
        <v>22.032182926829201</v>
      </c>
      <c r="EK15" s="99">
        <v>22.117975609756101</v>
      </c>
      <c r="EL15" s="99">
        <v>22.203768292682899</v>
      </c>
      <c r="EM15" s="99">
        <v>22.2895609756097</v>
      </c>
      <c r="EN15" s="99">
        <v>22.3753536585366</v>
      </c>
      <c r="EO15" s="99">
        <v>22.461146341463401</v>
      </c>
      <c r="EP15" s="99">
        <v>22.546939024390198</v>
      </c>
      <c r="EQ15" s="99">
        <v>22.632731707316999</v>
      </c>
      <c r="ER15" s="99">
        <v>22.7185243902439</v>
      </c>
      <c r="ES15" s="99">
        <v>22.804317073170701</v>
      </c>
      <c r="ET15" s="99">
        <v>22.890109756097502</v>
      </c>
      <c r="EU15" s="99">
        <v>22.975902439024399</v>
      </c>
      <c r="EV15" s="99">
        <v>23.0616951219512</v>
      </c>
      <c r="EW15" s="99">
        <v>23.147487804878001</v>
      </c>
      <c r="EX15" s="99">
        <v>23.233280487804802</v>
      </c>
      <c r="EY15" s="99">
        <v>23.319073170731698</v>
      </c>
      <c r="EZ15" s="99">
        <v>23.404865853658499</v>
      </c>
      <c r="FA15" s="99">
        <v>23.4906585365853</v>
      </c>
      <c r="FB15" s="99">
        <v>23.576451219512201</v>
      </c>
      <c r="FC15" s="99">
        <v>23.662243902438998</v>
      </c>
      <c r="FD15" s="99">
        <v>23.748036585365799</v>
      </c>
      <c r="FE15" s="99">
        <v>23.8338292682927</v>
      </c>
      <c r="FF15" s="99">
        <v>23.919621951219501</v>
      </c>
      <c r="FG15" s="99">
        <v>24.005414634146302</v>
      </c>
      <c r="FH15" s="99">
        <v>24.091207317073099</v>
      </c>
      <c r="FI15" s="99">
        <v>24.177</v>
      </c>
      <c r="FJ15" s="99">
        <v>24.262792682926801</v>
      </c>
      <c r="FK15" s="99">
        <v>24.348585365853602</v>
      </c>
      <c r="FL15" s="99">
        <v>24.434378048780498</v>
      </c>
      <c r="FM15" s="99">
        <v>24.520170731707299</v>
      </c>
      <c r="FN15" s="99">
        <v>24.6059634146341</v>
      </c>
      <c r="FO15" s="99">
        <v>24.691756097560901</v>
      </c>
      <c r="FP15" s="99">
        <v>24.777548780487798</v>
      </c>
      <c r="FQ15" s="99">
        <v>24.863341463414599</v>
      </c>
      <c r="FR15" s="99">
        <v>24.9491341463414</v>
      </c>
      <c r="FS15" s="99">
        <v>25.034926829268301</v>
      </c>
      <c r="FT15" s="99">
        <v>25.120719512195102</v>
      </c>
      <c r="FU15" s="99">
        <v>25.206512195121899</v>
      </c>
      <c r="FV15" s="99">
        <v>25.2923048780488</v>
      </c>
      <c r="FW15" s="99">
        <v>25.378097560975601</v>
      </c>
      <c r="FX15" s="99">
        <v>25.463890243902402</v>
      </c>
      <c r="FY15" s="99">
        <v>25.549682926829199</v>
      </c>
      <c r="FZ15" s="99">
        <v>25.635475609756099</v>
      </c>
      <c r="GA15" s="99">
        <v>25.7212682926829</v>
      </c>
      <c r="GB15" s="99">
        <v>25.807060975609701</v>
      </c>
      <c r="GC15" s="99">
        <v>25.892853658536598</v>
      </c>
      <c r="GD15" s="99">
        <v>25.978646341463399</v>
      </c>
      <c r="GE15" s="99">
        <v>26.0644390243902</v>
      </c>
      <c r="GF15" s="99">
        <v>26.150231707317001</v>
      </c>
      <c r="GG15" s="99">
        <v>26.236024390243902</v>
      </c>
      <c r="GH15" s="99">
        <v>26.321817073170699</v>
      </c>
      <c r="GI15" s="99">
        <v>26.4076097560975</v>
      </c>
      <c r="GJ15" s="99">
        <v>26.493402439024401</v>
      </c>
      <c r="GK15" s="99">
        <v>26.579195121951201</v>
      </c>
      <c r="GL15" s="99">
        <v>26.664987804877999</v>
      </c>
      <c r="GM15" s="99">
        <v>26.7507804878048</v>
      </c>
      <c r="GN15" s="99">
        <v>26.8365731707317</v>
      </c>
      <c r="GO15" s="99">
        <v>26.922365853658501</v>
      </c>
      <c r="GP15" s="99">
        <v>27.008158536585299</v>
      </c>
      <c r="GQ15" s="99">
        <v>27.093951219512199</v>
      </c>
      <c r="GR15" s="99">
        <v>27.179743902439</v>
      </c>
      <c r="GS15" s="99">
        <v>27.265536585365801</v>
      </c>
      <c r="GT15" s="99">
        <v>27.351329268292702</v>
      </c>
      <c r="GU15" s="99">
        <v>27.437121951219499</v>
      </c>
      <c r="GV15" s="99">
        <v>27.5229146341463</v>
      </c>
      <c r="GW15" s="99">
        <v>27.608707317073101</v>
      </c>
      <c r="GX15" s="99">
        <v>27.694500000000001</v>
      </c>
      <c r="GY15" s="99">
        <v>27.780292682926799</v>
      </c>
      <c r="GZ15" s="99">
        <v>27.8660853658536</v>
      </c>
      <c r="HA15" s="99">
        <v>27.9518780487805</v>
      </c>
      <c r="HB15" s="99">
        <v>28.037670731707301</v>
      </c>
      <c r="HC15" s="99">
        <v>28.123463414634099</v>
      </c>
      <c r="HD15" s="99">
        <v>28.2092560975609</v>
      </c>
      <c r="HE15" s="99">
        <v>28.2950487804878</v>
      </c>
      <c r="HF15" s="99">
        <v>28.380841463414601</v>
      </c>
      <c r="HG15" s="99">
        <v>28.466634146341399</v>
      </c>
      <c r="HH15" s="99">
        <v>28.552426829268299</v>
      </c>
      <c r="HI15" s="99">
        <v>28.6382195121951</v>
      </c>
      <c r="HJ15" s="99">
        <v>28.724012195121901</v>
      </c>
      <c r="HK15" s="99">
        <v>28.809804878048801</v>
      </c>
      <c r="HL15" s="99">
        <v>28.895597560975599</v>
      </c>
      <c r="HM15" s="99">
        <v>28.9813902439024</v>
      </c>
      <c r="HN15" s="99">
        <v>29.067182926829201</v>
      </c>
      <c r="HO15" s="99">
        <v>29.152975609756101</v>
      </c>
      <c r="HP15" s="99">
        <v>29.238768292682899</v>
      </c>
      <c r="HQ15" s="99">
        <v>29.3245609756097</v>
      </c>
      <c r="HR15" s="99">
        <v>29.4103536585366</v>
      </c>
      <c r="HS15" s="99">
        <v>29.496146341463401</v>
      </c>
      <c r="HT15" s="99">
        <v>29.581939024390199</v>
      </c>
      <c r="HU15" s="99">
        <v>29.667731707316999</v>
      </c>
      <c r="HV15" s="99">
        <v>29.7535243902439</v>
      </c>
      <c r="HW15" s="99">
        <v>29.839317073170701</v>
      </c>
      <c r="HX15" s="99">
        <v>29.925109756097498</v>
      </c>
      <c r="HY15" s="99">
        <v>30.010902439024399</v>
      </c>
      <c r="HZ15" s="99">
        <v>30.0966951219512</v>
      </c>
      <c r="IA15" s="99">
        <v>30.182487804878001</v>
      </c>
      <c r="IB15" s="99">
        <v>30.268280487804901</v>
      </c>
      <c r="IC15" s="99">
        <v>30.354073170731699</v>
      </c>
      <c r="ID15" s="99">
        <v>30.4398658536585</v>
      </c>
      <c r="IE15" s="99">
        <v>30.525658536585301</v>
      </c>
      <c r="IF15" s="99">
        <v>30.611451219512201</v>
      </c>
      <c r="IG15" s="99">
        <v>30.697243902438998</v>
      </c>
      <c r="IH15" s="99">
        <v>30.783036585365799</v>
      </c>
      <c r="II15" s="99">
        <v>30.8688292682927</v>
      </c>
      <c r="IJ15" s="99">
        <v>30.954621951219501</v>
      </c>
      <c r="IK15" s="99">
        <v>31.040414634146298</v>
      </c>
      <c r="IL15" s="99">
        <v>31.126207317073099</v>
      </c>
      <c r="IM15" s="99">
        <v>31.212</v>
      </c>
      <c r="IN15" s="99">
        <v>31.297792682926801</v>
      </c>
      <c r="IO15" s="99">
        <v>31.383585365853602</v>
      </c>
      <c r="IP15" s="99">
        <v>31.469378048780499</v>
      </c>
      <c r="IQ15" s="99">
        <v>31.5551707317073</v>
      </c>
      <c r="IR15" s="99">
        <v>31.640963414634101</v>
      </c>
      <c r="IS15" s="99">
        <v>31.726756097560902</v>
      </c>
      <c r="IT15" s="99">
        <v>31.812548780487798</v>
      </c>
      <c r="IU15" s="99">
        <v>31.898341463414599</v>
      </c>
      <c r="IV15" s="99">
        <v>31.9841341463414</v>
      </c>
      <c r="IW15" s="99">
        <v>32.069926829268297</v>
      </c>
      <c r="IX15" s="99">
        <v>32.155719512195098</v>
      </c>
      <c r="IY15" s="99">
        <v>32.241512195121899</v>
      </c>
      <c r="IZ15" s="99">
        <v>32.3273048780488</v>
      </c>
      <c r="JA15" s="99">
        <v>32.413097560975601</v>
      </c>
      <c r="JB15" s="99">
        <v>32.498890243902402</v>
      </c>
      <c r="JC15" s="99">
        <v>32.584682926829203</v>
      </c>
      <c r="JD15" s="99">
        <v>32.670475609756103</v>
      </c>
      <c r="JE15" s="99">
        <v>32.756268292682897</v>
      </c>
      <c r="JF15" s="99">
        <v>32.842060975609698</v>
      </c>
      <c r="JG15" s="99">
        <v>32.927853658536598</v>
      </c>
      <c r="JH15" s="99">
        <v>33.013646341463399</v>
      </c>
      <c r="JI15" s="99">
        <v>33.0994390243902</v>
      </c>
      <c r="JJ15" s="99">
        <v>33.185231707317001</v>
      </c>
      <c r="JK15" s="99">
        <v>33.271024390243902</v>
      </c>
      <c r="JL15" s="99">
        <v>33.356817073170703</v>
      </c>
      <c r="JM15" s="99">
        <v>33.442609756097497</v>
      </c>
      <c r="JN15" s="99">
        <v>33.528402439024397</v>
      </c>
      <c r="JO15" s="99">
        <v>33.614195121951198</v>
      </c>
      <c r="JP15" s="99">
        <v>33.699987804877999</v>
      </c>
      <c r="JQ15" s="99">
        <v>33.7857804878048</v>
      </c>
      <c r="JR15" s="99">
        <v>33.8715731707317</v>
      </c>
      <c r="JS15" s="99">
        <v>33.957365853658501</v>
      </c>
      <c r="JT15" s="99">
        <v>34.043158536585302</v>
      </c>
      <c r="JU15" s="99">
        <v>34.128951219512203</v>
      </c>
      <c r="JV15" s="99">
        <v>34.214743902438997</v>
      </c>
      <c r="JW15" s="99">
        <v>34.300536585365798</v>
      </c>
      <c r="JX15" s="99">
        <v>34.386329268292698</v>
      </c>
      <c r="JY15" s="99">
        <v>34.472121951219499</v>
      </c>
      <c r="JZ15" s="99">
        <v>34.5579146341463</v>
      </c>
      <c r="KA15" s="99">
        <v>34.643707317073101</v>
      </c>
      <c r="KB15" s="99">
        <v>34.729500000000002</v>
      </c>
      <c r="KC15" s="99">
        <v>34.815292682926803</v>
      </c>
      <c r="KD15" s="99">
        <v>34.901085365853604</v>
      </c>
      <c r="KE15" s="99">
        <v>34.986878048780497</v>
      </c>
      <c r="KF15" s="99">
        <v>35.072670731707298</v>
      </c>
      <c r="KG15" s="99">
        <v>35.158463414634099</v>
      </c>
      <c r="KH15" s="99">
        <v>35.2442560975609</v>
      </c>
      <c r="KI15" s="99">
        <v>35.3300487804878</v>
      </c>
      <c r="KJ15" s="99">
        <v>35.415841463414601</v>
      </c>
      <c r="KK15" s="99">
        <v>35.501634146341402</v>
      </c>
      <c r="KL15" s="99">
        <v>35.587426829268303</v>
      </c>
      <c r="KM15" s="99">
        <v>35.673219512195097</v>
      </c>
      <c r="KN15" s="99">
        <v>35.759012195121898</v>
      </c>
      <c r="KO15" s="99">
        <v>35.844804878048798</v>
      </c>
      <c r="KP15" s="99">
        <v>35.930597560975599</v>
      </c>
      <c r="KQ15" s="99">
        <v>36.0163902439024</v>
      </c>
      <c r="KR15" s="99">
        <v>36.102182926829201</v>
      </c>
      <c r="KS15" s="99">
        <v>36.187975609756101</v>
      </c>
      <c r="KT15" s="99">
        <v>36.273768292682902</v>
      </c>
      <c r="KU15" s="99">
        <v>36.359560975609703</v>
      </c>
      <c r="KV15" s="99">
        <v>36.445353658536597</v>
      </c>
      <c r="KW15" s="99">
        <v>36.531146341463398</v>
      </c>
      <c r="KX15" s="99">
        <v>36.616939024390199</v>
      </c>
      <c r="KY15" s="99">
        <v>36.702731707317</v>
      </c>
      <c r="KZ15" s="99">
        <v>36.7885243902439</v>
      </c>
      <c r="LA15" s="99">
        <v>36.874317073170701</v>
      </c>
      <c r="LB15" s="99">
        <v>36.960109756097502</v>
      </c>
      <c r="LC15" s="99">
        <v>37.045902439024402</v>
      </c>
      <c r="LD15" s="99">
        <v>37.131695121951203</v>
      </c>
      <c r="LE15" s="99">
        <v>37.217487804877997</v>
      </c>
      <c r="LF15" s="99">
        <v>37.303280487804898</v>
      </c>
      <c r="LG15" s="99">
        <v>37.389073170731699</v>
      </c>
      <c r="LH15" s="99">
        <v>37.4748658536585</v>
      </c>
      <c r="LI15" s="99">
        <v>37.560658536585301</v>
      </c>
      <c r="LJ15" s="99">
        <v>37.646451219512201</v>
      </c>
      <c r="LK15" s="99">
        <v>37.732243902439002</v>
      </c>
      <c r="LL15" s="99">
        <v>37.818036585365803</v>
      </c>
      <c r="LM15" s="99">
        <v>37.903829268292696</v>
      </c>
      <c r="LN15" s="99">
        <v>37.989621951219497</v>
      </c>
      <c r="LO15" s="99">
        <v>38.075414634146298</v>
      </c>
      <c r="LP15" s="99">
        <v>38.161207317073099</v>
      </c>
      <c r="LQ15" s="99">
        <v>38.247</v>
      </c>
      <c r="LR15" s="99">
        <v>38.332792682926801</v>
      </c>
      <c r="LS15" s="99">
        <v>38.418585365853602</v>
      </c>
      <c r="LT15" s="99">
        <v>38.504378048780502</v>
      </c>
      <c r="LU15" s="99">
        <v>38.590170731707303</v>
      </c>
      <c r="LV15" s="99">
        <v>38.675963414634097</v>
      </c>
      <c r="LW15" s="99">
        <v>38.761756097560898</v>
      </c>
      <c r="LX15" s="99">
        <v>38.847548780487799</v>
      </c>
      <c r="LY15" s="99">
        <v>38.9333414634146</v>
      </c>
      <c r="LZ15" s="99">
        <v>39.019134146341401</v>
      </c>
      <c r="MA15" s="99">
        <v>39.104926829268301</v>
      </c>
      <c r="MB15" s="99">
        <v>39.190719512195102</v>
      </c>
      <c r="MC15" s="99">
        <v>39.276512195121903</v>
      </c>
      <c r="MD15" s="99">
        <v>39.362304878048803</v>
      </c>
      <c r="ME15" s="99">
        <v>39.448097560975597</v>
      </c>
      <c r="MF15" s="99">
        <v>39.533890243902398</v>
      </c>
      <c r="MG15" s="99">
        <v>39.619682926829199</v>
      </c>
      <c r="MH15" s="99">
        <v>39.7054756097561</v>
      </c>
      <c r="MI15" s="99">
        <v>39.791268292682901</v>
      </c>
      <c r="MJ15" s="99">
        <v>39.877060975609702</v>
      </c>
      <c r="MK15" s="99">
        <v>39.962853658536602</v>
      </c>
      <c r="ML15" s="99">
        <v>40.048646341463403</v>
      </c>
      <c r="MM15" s="99">
        <v>40.134439024390197</v>
      </c>
      <c r="MN15" s="99">
        <v>40.220231707316998</v>
      </c>
      <c r="MO15" s="99">
        <v>40.306024390243898</v>
      </c>
      <c r="MP15" s="99">
        <v>40.391817073170699</v>
      </c>
      <c r="MQ15" s="99">
        <v>40.4776097560975</v>
      </c>
      <c r="MR15" s="99">
        <v>40.563402439024401</v>
      </c>
      <c r="MS15" s="99">
        <v>40.649195121951202</v>
      </c>
      <c r="MT15" s="99">
        <v>40.734987804878003</v>
      </c>
      <c r="MU15" s="99">
        <v>40.820780487804797</v>
      </c>
      <c r="MV15" s="99">
        <v>40.906573170731697</v>
      </c>
      <c r="MW15" s="99">
        <v>40.992365853658498</v>
      </c>
      <c r="MX15" s="99">
        <v>41.078158536585299</v>
      </c>
      <c r="MY15" s="99">
        <v>41.163951219512199</v>
      </c>
      <c r="MZ15" s="99">
        <v>41.249743902439</v>
      </c>
      <c r="NA15" s="99">
        <v>41.335536585365801</v>
      </c>
      <c r="NB15" s="99">
        <v>41.421329268292702</v>
      </c>
      <c r="NC15" s="99">
        <v>41.507121951219503</v>
      </c>
      <c r="ND15" s="99">
        <v>41.592914634146297</v>
      </c>
      <c r="NE15" s="99">
        <v>41.678707317073098</v>
      </c>
      <c r="NF15" s="99">
        <v>41.764499999999998</v>
      </c>
      <c r="NG15" s="99">
        <v>41.850292682926799</v>
      </c>
      <c r="NH15" s="99">
        <v>41.9360853658536</v>
      </c>
      <c r="NI15" s="99">
        <v>42.021878048780501</v>
      </c>
      <c r="NJ15" s="99">
        <v>42.107670731707302</v>
      </c>
      <c r="NK15" s="99">
        <v>42.193463414634103</v>
      </c>
      <c r="NL15" s="99">
        <v>42.279256097560904</v>
      </c>
      <c r="NM15" s="99">
        <v>42.365048780487797</v>
      </c>
      <c r="NN15" s="99">
        <v>42.450841463414598</v>
      </c>
      <c r="NO15" s="99">
        <v>42.536634146341399</v>
      </c>
      <c r="NP15" s="99">
        <v>42.622426829268299</v>
      </c>
      <c r="NQ15" s="99">
        <v>42.7082195121951</v>
      </c>
      <c r="NR15" s="99">
        <v>42.794012195121901</v>
      </c>
      <c r="NS15" s="99">
        <v>42.879804878048802</v>
      </c>
      <c r="NT15" s="99">
        <v>42.965597560975603</v>
      </c>
      <c r="NU15" s="99">
        <v>43.051390243902397</v>
      </c>
      <c r="NV15" s="99">
        <v>43.137182926829198</v>
      </c>
      <c r="NW15" s="99">
        <v>43.222975609756098</v>
      </c>
      <c r="NX15" s="99">
        <v>43.308768292682899</v>
      </c>
      <c r="NY15" s="99">
        <v>43.3945609756097</v>
      </c>
      <c r="NZ15" s="99">
        <v>43.4803536585366</v>
      </c>
      <c r="OA15" s="99">
        <v>43.566146341463401</v>
      </c>
      <c r="OB15" s="99">
        <v>43.651939024390202</v>
      </c>
      <c r="OC15" s="99">
        <v>43.737731707317003</v>
      </c>
      <c r="OD15" s="99">
        <v>43.823524390243897</v>
      </c>
      <c r="OE15" s="99">
        <v>43.909317073170698</v>
      </c>
      <c r="OF15" s="99">
        <v>43.995109756097499</v>
      </c>
      <c r="OG15" s="99">
        <v>44.080902439024399</v>
      </c>
      <c r="OH15" s="99">
        <v>44.1666951219512</v>
      </c>
      <c r="OI15" s="99">
        <v>44.252487804878001</v>
      </c>
      <c r="OJ15" s="99">
        <v>44.338280487804901</v>
      </c>
      <c r="OK15" s="99">
        <v>44.424073170731702</v>
      </c>
      <c r="OL15" s="99">
        <v>44.509865853658503</v>
      </c>
      <c r="OM15" s="99">
        <v>44.595658536585297</v>
      </c>
      <c r="ON15" s="99">
        <v>44.681451219512198</v>
      </c>
      <c r="OO15" s="99">
        <v>44.767243902438999</v>
      </c>
      <c r="OP15" s="99">
        <v>44.8530365853658</v>
      </c>
      <c r="OQ15" s="99">
        <v>44.9388292682927</v>
      </c>
      <c r="OR15" s="99">
        <v>45.024621951219501</v>
      </c>
      <c r="OS15" s="99">
        <v>45.110414634146302</v>
      </c>
      <c r="OT15" s="99">
        <v>45.196207317073103</v>
      </c>
      <c r="OU15" s="99">
        <v>45.281999999999996</v>
      </c>
      <c r="OV15" s="99">
        <v>45.367792682926797</v>
      </c>
      <c r="OW15" s="99">
        <v>45.453585365853598</v>
      </c>
      <c r="OX15" s="99">
        <v>45.539378048780499</v>
      </c>
      <c r="OY15" s="99">
        <v>45.6251707317073</v>
      </c>
      <c r="OZ15" s="99">
        <v>45.710963414634101</v>
      </c>
      <c r="PA15" s="99">
        <v>45.796756097561001</v>
      </c>
      <c r="PB15" s="99">
        <v>45.882548780487802</v>
      </c>
      <c r="PC15" s="99">
        <v>45.968341463414603</v>
      </c>
      <c r="PD15" s="99">
        <v>46.054134146341397</v>
      </c>
      <c r="PE15" s="99">
        <v>46.139926829268298</v>
      </c>
      <c r="PF15" s="99">
        <v>46.225719512195099</v>
      </c>
      <c r="PG15" s="99">
        <v>46.3115121951219</v>
      </c>
      <c r="PH15" s="99">
        <v>46.3973048780488</v>
      </c>
      <c r="PI15" s="99">
        <v>46.483097560975601</v>
      </c>
      <c r="PJ15" s="99">
        <v>46.568890243902402</v>
      </c>
      <c r="PK15" s="99">
        <v>46.654682926829203</v>
      </c>
      <c r="PL15" s="99">
        <v>46.740475609756103</v>
      </c>
      <c r="PM15" s="99">
        <v>46.826268292682897</v>
      </c>
      <c r="PN15" s="99">
        <v>46.912060975609698</v>
      </c>
      <c r="PO15" s="99">
        <v>46.997853658536599</v>
      </c>
      <c r="PP15" s="99">
        <v>47.0836463414634</v>
      </c>
      <c r="PQ15" s="99">
        <v>47.169439024390201</v>
      </c>
      <c r="PR15" s="99">
        <v>47.255231707317002</v>
      </c>
      <c r="PS15" s="99">
        <v>47.341024390243902</v>
      </c>
      <c r="PT15" s="99">
        <v>47.426817073170703</v>
      </c>
      <c r="PU15" s="99">
        <v>47.512609756097497</v>
      </c>
      <c r="PV15" s="99">
        <v>47.598402439024397</v>
      </c>
      <c r="PW15" s="99">
        <v>47.684195121951198</v>
      </c>
      <c r="PX15" s="99">
        <v>47.769987804877999</v>
      </c>
      <c r="PY15" s="99">
        <v>47.8557804878048</v>
      </c>
      <c r="PZ15" s="99">
        <v>47.941573170731701</v>
      </c>
      <c r="QA15" s="99">
        <v>48.027365853658502</v>
      </c>
      <c r="QB15" s="99">
        <v>48.113158536585303</v>
      </c>
      <c r="QC15" s="99">
        <v>48.198951219512203</v>
      </c>
      <c r="QD15" s="99">
        <v>48.284743902438997</v>
      </c>
      <c r="QE15" s="99">
        <v>48.370536585365798</v>
      </c>
      <c r="QF15" s="99">
        <v>48.456329268292698</v>
      </c>
      <c r="QG15" s="99">
        <v>48.542121951219499</v>
      </c>
      <c r="QH15" s="99">
        <v>48.6279146341463</v>
      </c>
      <c r="QI15" s="99">
        <v>48.713707317073101</v>
      </c>
      <c r="QJ15" s="99">
        <v>48.799500000000002</v>
      </c>
      <c r="QK15" s="99">
        <v>48.885292682926803</v>
      </c>
      <c r="QL15" s="99">
        <v>48.971085365853597</v>
      </c>
      <c r="QM15" s="99">
        <v>49.056878048780497</v>
      </c>
      <c r="QN15" s="99">
        <v>49.142670731707298</v>
      </c>
      <c r="QO15" s="99">
        <v>49.228463414634099</v>
      </c>
      <c r="QP15" s="99">
        <v>49.3142560975609</v>
      </c>
      <c r="QQ15" s="99">
        <v>49.400048780487801</v>
      </c>
      <c r="QR15" s="99">
        <v>49.485841463414602</v>
      </c>
      <c r="QS15" s="99">
        <v>49.571634146341403</v>
      </c>
      <c r="QT15" s="99">
        <v>49.657426829268303</v>
      </c>
      <c r="QU15" s="99">
        <v>49.743219512195097</v>
      </c>
      <c r="QV15" s="99">
        <v>49.829012195121898</v>
      </c>
      <c r="QW15" s="99">
        <v>49.914804878048798</v>
      </c>
      <c r="QX15" s="99">
        <v>50.000597560975599</v>
      </c>
      <c r="QY15" s="99">
        <v>50.0863902439024</v>
      </c>
      <c r="QZ15" s="99">
        <v>50.172182926829201</v>
      </c>
      <c r="RA15" s="99">
        <v>50.257975609756102</v>
      </c>
      <c r="RB15" s="99">
        <v>50.343768292682903</v>
      </c>
      <c r="RC15" s="99">
        <v>50.429560975609697</v>
      </c>
      <c r="RD15" s="99">
        <v>50.515353658536597</v>
      </c>
      <c r="RE15" s="99">
        <v>50.601146341463398</v>
      </c>
      <c r="RF15" s="99">
        <v>50.686939024390199</v>
      </c>
      <c r="RG15" s="99">
        <v>50.772731707317</v>
      </c>
      <c r="RH15" s="99">
        <v>50.8585243902439</v>
      </c>
      <c r="RI15" s="99">
        <v>50.944317073170701</v>
      </c>
      <c r="RJ15" s="99">
        <v>51.030109756097502</v>
      </c>
      <c r="RK15" s="99">
        <v>51.115902439024403</v>
      </c>
      <c r="RL15" s="99">
        <v>51.201695121951197</v>
      </c>
      <c r="RM15" s="99">
        <v>51.287487804877998</v>
      </c>
      <c r="RN15" s="99">
        <v>51.373280487804898</v>
      </c>
      <c r="RO15" s="99">
        <v>51.459073170731699</v>
      </c>
      <c r="RP15" s="99">
        <v>51.5448658536585</v>
      </c>
      <c r="RQ15" s="99">
        <v>51.630658536585301</v>
      </c>
      <c r="RR15" s="99">
        <v>51.716451219512201</v>
      </c>
      <c r="RS15" s="99">
        <v>51.802243902439002</v>
      </c>
      <c r="RT15" s="99">
        <v>51.888036585365803</v>
      </c>
      <c r="RU15" s="99">
        <v>51.973829268292697</v>
      </c>
      <c r="RV15" s="99">
        <v>52.059621951219498</v>
      </c>
      <c r="RW15" s="99">
        <v>52.145414634146299</v>
      </c>
      <c r="RX15" s="99">
        <v>52.2312073170731</v>
      </c>
      <c r="RY15" s="99">
        <v>52.317</v>
      </c>
      <c r="RZ15" s="99">
        <v>52.402792682926801</v>
      </c>
      <c r="SA15" s="99">
        <v>52.488585365853602</v>
      </c>
      <c r="SB15" s="99">
        <v>52.574378048780503</v>
      </c>
      <c r="SC15" s="99">
        <v>52.660170731707296</v>
      </c>
      <c r="SD15" s="99">
        <v>52.745963414634097</v>
      </c>
      <c r="SE15" s="99">
        <v>52.831756097560898</v>
      </c>
      <c r="SF15" s="99">
        <v>52.917548780487799</v>
      </c>
      <c r="SG15" s="99">
        <v>53.0033414634146</v>
      </c>
      <c r="SH15" s="99">
        <v>53.089134146341401</v>
      </c>
      <c r="SI15" s="99">
        <v>53.174926829268301</v>
      </c>
      <c r="SJ15" s="99">
        <v>53.260719512195102</v>
      </c>
      <c r="SK15" s="99">
        <v>53.346512195121903</v>
      </c>
      <c r="SL15" s="99">
        <v>53.432304878048797</v>
      </c>
      <c r="SM15" s="99">
        <v>53.518097560975598</v>
      </c>
      <c r="SN15" s="99">
        <v>53.603890243902399</v>
      </c>
      <c r="SO15" s="99">
        <v>53.6896829268292</v>
      </c>
      <c r="SP15" s="99">
        <v>53.7754756097561</v>
      </c>
      <c r="SQ15" s="99">
        <v>53.861268292682901</v>
      </c>
      <c r="SR15" s="99">
        <v>53.947060975609702</v>
      </c>
      <c r="SS15" s="99">
        <v>54.032853658536602</v>
      </c>
      <c r="ST15" s="99">
        <v>54.118646341463403</v>
      </c>
      <c r="SU15" s="99">
        <v>54.204439024390197</v>
      </c>
      <c r="SV15" s="99">
        <v>54.290231707316998</v>
      </c>
      <c r="SW15" s="99">
        <v>54.376024390243899</v>
      </c>
      <c r="SX15" s="99">
        <v>54.4618170731707</v>
      </c>
      <c r="SY15" s="99">
        <v>54.547609756097501</v>
      </c>
      <c r="SZ15" s="99">
        <v>54.633402439024401</v>
      </c>
      <c r="TA15" s="99">
        <v>54.719195121951202</v>
      </c>
      <c r="TB15" s="99">
        <v>54.804987804878003</v>
      </c>
      <c r="TC15" s="99">
        <v>54.890780487804903</v>
      </c>
      <c r="TD15" s="99">
        <v>54.976573170731697</v>
      </c>
      <c r="TE15" s="99">
        <v>55.062365853658498</v>
      </c>
      <c r="TF15" s="99">
        <v>55.148158536585299</v>
      </c>
      <c r="TG15" s="99">
        <v>55.2339512195122</v>
      </c>
      <c r="TH15" s="99">
        <v>55.319743902439001</v>
      </c>
      <c r="TI15" s="99">
        <v>55.405536585365802</v>
      </c>
      <c r="TJ15" s="99">
        <v>55.491329268292702</v>
      </c>
      <c r="TK15" s="99">
        <v>55.577121951219503</v>
      </c>
      <c r="TL15" s="99">
        <v>55.662914634146297</v>
      </c>
      <c r="TM15" s="99">
        <v>55.748707317073098</v>
      </c>
      <c r="TN15" s="99">
        <v>55.834499999999998</v>
      </c>
      <c r="TO15" s="99">
        <v>55.920292682926799</v>
      </c>
      <c r="TP15" s="99">
        <v>56.0060853658536</v>
      </c>
      <c r="TQ15" s="99">
        <v>56.091878048780501</v>
      </c>
      <c r="TR15" s="99">
        <v>56.177670731707302</v>
      </c>
      <c r="TS15" s="99">
        <v>56.263463414634103</v>
      </c>
      <c r="TT15" s="99">
        <v>56.349256097561003</v>
      </c>
      <c r="TU15" s="99">
        <v>56.435048780487797</v>
      </c>
      <c r="TV15" s="99">
        <v>56.520841463414598</v>
      </c>
      <c r="TW15" s="99">
        <v>56.606634146341399</v>
      </c>
      <c r="TX15" s="99">
        <v>56.6924268292683</v>
      </c>
      <c r="TY15" s="99">
        <v>56.778219512195101</v>
      </c>
      <c r="TZ15" s="99">
        <v>56.864012195121902</v>
      </c>
      <c r="UA15" s="99">
        <v>56.949804878048802</v>
      </c>
      <c r="UB15" s="99">
        <v>57.035597560975603</v>
      </c>
      <c r="UC15" s="99">
        <v>57.121390243902397</v>
      </c>
      <c r="UD15" s="99">
        <v>57.207182926829198</v>
      </c>
      <c r="UE15" s="99">
        <v>57.292975609756098</v>
      </c>
      <c r="UF15" s="99">
        <v>57.378768292682899</v>
      </c>
      <c r="UG15" s="99">
        <v>57.4645609756097</v>
      </c>
      <c r="UH15" s="99">
        <v>57.550353658536601</v>
      </c>
      <c r="UI15" s="99">
        <v>57.636146341463402</v>
      </c>
      <c r="UJ15" s="99">
        <v>57.721939024390203</v>
      </c>
      <c r="UK15" s="99">
        <v>57.807731707316997</v>
      </c>
      <c r="UL15" s="99">
        <v>57.893524390243897</v>
      </c>
      <c r="UM15" s="99">
        <v>57.979317073170698</v>
      </c>
      <c r="UN15" s="99">
        <v>58.065109756097499</v>
      </c>
      <c r="UO15" s="99">
        <v>58.150902439024399</v>
      </c>
      <c r="UP15" s="99">
        <v>58.2366951219512</v>
      </c>
      <c r="UQ15" s="99">
        <v>58.322487804878001</v>
      </c>
      <c r="UR15" s="99">
        <v>58.408280487804902</v>
      </c>
      <c r="US15" s="99">
        <v>58.494073170731603</v>
      </c>
      <c r="UT15" s="99">
        <v>58.579865853658497</v>
      </c>
    </row>
    <row r="16" spans="1:566" x14ac:dyDescent="0.2">
      <c r="A16" s="89">
        <v>5</v>
      </c>
      <c r="B16" s="90">
        <v>10.06</v>
      </c>
      <c r="C16" s="90">
        <v>10.15</v>
      </c>
      <c r="D16" s="90">
        <v>10.23</v>
      </c>
      <c r="E16" s="90">
        <v>10.32</v>
      </c>
      <c r="F16" s="90">
        <v>10.4</v>
      </c>
      <c r="G16" s="90">
        <v>10.48</v>
      </c>
      <c r="H16" s="90">
        <v>10.57</v>
      </c>
      <c r="I16" s="90">
        <v>10.65</v>
      </c>
      <c r="J16" s="90">
        <v>10.74</v>
      </c>
      <c r="K16" s="90">
        <v>10.82</v>
      </c>
      <c r="L16" s="90">
        <v>10.91</v>
      </c>
      <c r="M16" s="90">
        <v>10.99</v>
      </c>
      <c r="N16" s="90">
        <v>11.08</v>
      </c>
      <c r="O16" s="90">
        <v>11.16</v>
      </c>
      <c r="P16" s="90">
        <v>11.25</v>
      </c>
      <c r="Q16" s="90">
        <v>11.33</v>
      </c>
      <c r="R16" s="90">
        <v>11.42</v>
      </c>
      <c r="S16" s="90">
        <v>11.5</v>
      </c>
      <c r="T16" s="90">
        <v>11.59</v>
      </c>
      <c r="U16" s="91">
        <v>11.67</v>
      </c>
      <c r="V16" s="90">
        <v>11.75</v>
      </c>
      <c r="W16" s="90">
        <v>11.84</v>
      </c>
      <c r="X16" s="90">
        <v>11.92</v>
      </c>
      <c r="Y16" s="90">
        <v>12.01</v>
      </c>
      <c r="Z16" s="90">
        <v>12.09</v>
      </c>
      <c r="AA16" s="90">
        <v>12.18</v>
      </c>
      <c r="AB16" s="90">
        <v>12.26</v>
      </c>
      <c r="AC16" s="90">
        <v>12.35</v>
      </c>
      <c r="AD16" s="90">
        <v>12.43</v>
      </c>
      <c r="AE16" s="90">
        <v>12.52</v>
      </c>
      <c r="AF16" s="90">
        <v>12.6</v>
      </c>
      <c r="AG16" s="90">
        <v>12.69</v>
      </c>
      <c r="AH16" s="90">
        <v>12.77</v>
      </c>
      <c r="AI16" s="90">
        <v>12.86</v>
      </c>
      <c r="AJ16" s="90">
        <v>12.94</v>
      </c>
      <c r="AK16" s="90">
        <v>13.03</v>
      </c>
      <c r="AL16" s="90">
        <v>13.11</v>
      </c>
      <c r="AM16" s="90">
        <v>13.19</v>
      </c>
      <c r="AN16" s="90">
        <v>13.28</v>
      </c>
      <c r="AO16" s="91">
        <v>13.36</v>
      </c>
      <c r="AP16" s="90">
        <v>13.448384615384599</v>
      </c>
      <c r="AQ16" s="90">
        <v>13.5330619136961</v>
      </c>
      <c r="AR16" s="90">
        <v>13.6177392120075</v>
      </c>
      <c r="AS16" s="90">
        <v>13.7024165103189</v>
      </c>
      <c r="AT16" s="90">
        <v>13.7870938086304</v>
      </c>
      <c r="AU16" s="90">
        <v>13.8717711069418</v>
      </c>
      <c r="AV16" s="90">
        <v>13.956448405253299</v>
      </c>
      <c r="AW16" s="90">
        <v>14.041125703564701</v>
      </c>
      <c r="AX16" s="90">
        <v>14.1258030018762</v>
      </c>
      <c r="AY16" s="90">
        <v>14.2104803001876</v>
      </c>
      <c r="AZ16" s="90">
        <v>14.295157598499101</v>
      </c>
      <c r="BA16" s="90">
        <v>14.3798348968105</v>
      </c>
      <c r="BB16" s="90">
        <v>14.4645121951219</v>
      </c>
      <c r="BC16" s="90">
        <v>14.549189493433399</v>
      </c>
      <c r="BD16" s="90">
        <v>14.633866791744801</v>
      </c>
      <c r="BE16" s="90">
        <v>14.7185440900563</v>
      </c>
      <c r="BF16" s="90">
        <v>14.8032213883677</v>
      </c>
      <c r="BG16" s="90">
        <v>14.8878986866792</v>
      </c>
      <c r="BH16" s="90">
        <v>14.9725759849906</v>
      </c>
      <c r="BI16" s="91">
        <v>15.057253283302099</v>
      </c>
      <c r="BJ16" s="90">
        <v>15.141930581613501</v>
      </c>
      <c r="BK16" s="99">
        <v>15.226607879924901</v>
      </c>
      <c r="BL16" s="99">
        <v>15.3112851782364</v>
      </c>
      <c r="BM16" s="99">
        <v>15.395962476547799</v>
      </c>
      <c r="BN16" s="99">
        <v>15.4806397748593</v>
      </c>
      <c r="BO16" s="99">
        <v>15.5653170731707</v>
      </c>
      <c r="BP16" s="99">
        <v>15.649994371482199</v>
      </c>
      <c r="BQ16" s="99">
        <v>15.734671669793601</v>
      </c>
      <c r="BR16" s="99">
        <v>15.8193489681051</v>
      </c>
      <c r="BS16" s="99">
        <v>15.9040262664165</v>
      </c>
      <c r="BT16" s="99">
        <v>15.988703564727899</v>
      </c>
      <c r="BU16" s="99">
        <v>16.0733808630394</v>
      </c>
      <c r="BV16" s="99">
        <v>16.158058161350802</v>
      </c>
      <c r="BW16" s="99">
        <v>16.242735459662299</v>
      </c>
      <c r="BX16" s="99">
        <v>16.327412757973701</v>
      </c>
      <c r="BY16" s="99">
        <v>16.412090056285201</v>
      </c>
      <c r="BZ16" s="99">
        <v>16.496767354596599</v>
      </c>
      <c r="CA16" s="99">
        <v>16.5814446529081</v>
      </c>
      <c r="CB16" s="99">
        <v>16.666121951219498</v>
      </c>
      <c r="CC16" s="99">
        <v>16.7507992495309</v>
      </c>
      <c r="CD16" s="99">
        <v>16.835476547842401</v>
      </c>
      <c r="CE16" s="99">
        <v>16.920153846153799</v>
      </c>
      <c r="CF16" s="99">
        <v>17.0048311444653</v>
      </c>
      <c r="CG16" s="99">
        <v>17.089508442776701</v>
      </c>
      <c r="CH16" s="99">
        <v>17.174185741088198</v>
      </c>
      <c r="CI16" s="99">
        <v>17.2588630393996</v>
      </c>
      <c r="CJ16" s="99">
        <v>17.343540337711101</v>
      </c>
      <c r="CK16" s="99">
        <v>17.428217636022499</v>
      </c>
      <c r="CL16" s="99">
        <v>17.512894934334</v>
      </c>
      <c r="CM16" s="99">
        <v>17.597572232645401</v>
      </c>
      <c r="CN16" s="99">
        <v>17.682249530956799</v>
      </c>
      <c r="CO16" s="99">
        <v>17.7669268292683</v>
      </c>
      <c r="CP16" s="99">
        <v>17.851604127579701</v>
      </c>
      <c r="CQ16" s="99">
        <v>17.936281425891199</v>
      </c>
      <c r="CR16" s="99">
        <v>18.0209587242026</v>
      </c>
      <c r="CS16" s="99">
        <v>18.105636022514101</v>
      </c>
      <c r="CT16" s="99">
        <v>18.190313320825499</v>
      </c>
      <c r="CU16" s="99">
        <v>18.274990619137</v>
      </c>
      <c r="CV16" s="99">
        <v>18.359667917448402</v>
      </c>
      <c r="CW16" s="99">
        <v>18.4443452157598</v>
      </c>
      <c r="CX16" s="99">
        <v>18.529022514071301</v>
      </c>
      <c r="CY16" s="99">
        <v>18.613699812382698</v>
      </c>
      <c r="CZ16" s="99">
        <v>18.698377110694199</v>
      </c>
      <c r="DA16" s="99">
        <v>18.783054409005601</v>
      </c>
      <c r="DB16" s="99">
        <v>18.867731707317098</v>
      </c>
      <c r="DC16" s="99">
        <v>18.9524090056285</v>
      </c>
      <c r="DD16" s="99">
        <v>19.037086303940001</v>
      </c>
      <c r="DE16" s="99">
        <v>19.121763602251399</v>
      </c>
      <c r="DF16" s="99">
        <v>19.2064409005628</v>
      </c>
      <c r="DG16" s="99">
        <v>19.291118198874301</v>
      </c>
      <c r="DH16" s="99">
        <v>19.375795497185699</v>
      </c>
      <c r="DI16" s="99">
        <v>19.4604727954972</v>
      </c>
      <c r="DJ16" s="99">
        <v>19.545150093808601</v>
      </c>
      <c r="DK16" s="99">
        <v>19.629827392120099</v>
      </c>
      <c r="DL16" s="99">
        <v>19.7145046904315</v>
      </c>
      <c r="DM16" s="99">
        <v>19.799181988743001</v>
      </c>
      <c r="DN16" s="99">
        <v>19.883859287054399</v>
      </c>
      <c r="DO16" s="99">
        <v>19.968536585365801</v>
      </c>
      <c r="DP16" s="99">
        <v>20.053213883677302</v>
      </c>
      <c r="DQ16" s="99">
        <v>20.137891181988699</v>
      </c>
      <c r="DR16" s="99">
        <v>20.2225684803002</v>
      </c>
      <c r="DS16" s="99">
        <v>20.307245778611598</v>
      </c>
      <c r="DT16" s="99">
        <v>20.391923076923</v>
      </c>
      <c r="DU16" s="99">
        <v>20.476600375234501</v>
      </c>
      <c r="DV16" s="99">
        <v>20.561277673545899</v>
      </c>
      <c r="DW16" s="99">
        <v>20.6459549718574</v>
      </c>
      <c r="DX16" s="99">
        <v>20.730632270168801</v>
      </c>
      <c r="DY16" s="99">
        <v>20.815309568480298</v>
      </c>
      <c r="DZ16" s="99">
        <v>20.8999868667917</v>
      </c>
      <c r="EA16" s="99">
        <v>20.984664165103201</v>
      </c>
      <c r="EB16" s="99">
        <v>21.069341463414599</v>
      </c>
      <c r="EC16" s="99">
        <v>21.154018761726</v>
      </c>
      <c r="ED16" s="99">
        <v>21.238696060037501</v>
      </c>
      <c r="EE16" s="99">
        <v>21.323373358348899</v>
      </c>
      <c r="EF16" s="99">
        <v>21.4080506566604</v>
      </c>
      <c r="EG16" s="99">
        <v>21.492727954971802</v>
      </c>
      <c r="EH16" s="99">
        <v>21.577405253283299</v>
      </c>
      <c r="EI16" s="99">
        <v>21.6620825515947</v>
      </c>
      <c r="EJ16" s="99">
        <v>21.746759849906201</v>
      </c>
      <c r="EK16" s="99">
        <v>21.831437148217599</v>
      </c>
      <c r="EL16" s="99">
        <v>21.916114446529001</v>
      </c>
      <c r="EM16" s="99">
        <v>22.000791744840502</v>
      </c>
      <c r="EN16" s="99">
        <v>22.0854690431519</v>
      </c>
      <c r="EO16" s="99">
        <v>22.170146341463401</v>
      </c>
      <c r="EP16" s="99">
        <v>22.254823639774798</v>
      </c>
      <c r="EQ16" s="99">
        <v>22.339500938086299</v>
      </c>
      <c r="ER16" s="99">
        <v>22.424178236397701</v>
      </c>
      <c r="ES16" s="99">
        <v>22.508855534709198</v>
      </c>
      <c r="ET16" s="99">
        <v>22.5935328330206</v>
      </c>
      <c r="EU16" s="99">
        <v>22.678210131332001</v>
      </c>
      <c r="EV16" s="99">
        <v>22.762887429643499</v>
      </c>
      <c r="EW16" s="99">
        <v>22.8475647279549</v>
      </c>
      <c r="EX16" s="99">
        <v>22.932242026266401</v>
      </c>
      <c r="EY16" s="99">
        <v>23.016919324577799</v>
      </c>
      <c r="EZ16" s="99">
        <v>23.1015966228893</v>
      </c>
      <c r="FA16" s="99">
        <v>23.186273921200701</v>
      </c>
      <c r="FB16" s="99">
        <v>23.270951219512199</v>
      </c>
      <c r="FC16" s="99">
        <v>23.3556285178236</v>
      </c>
      <c r="FD16" s="99">
        <v>23.440305816135002</v>
      </c>
      <c r="FE16" s="99">
        <v>23.524983114446499</v>
      </c>
      <c r="FF16" s="99">
        <v>23.609660412757901</v>
      </c>
      <c r="FG16" s="99">
        <v>23.694337711069402</v>
      </c>
      <c r="FH16" s="99">
        <v>23.779015009380799</v>
      </c>
      <c r="FI16" s="99">
        <v>23.8636923076923</v>
      </c>
      <c r="FJ16" s="99">
        <v>23.948369606003698</v>
      </c>
      <c r="FK16" s="99">
        <v>24.033046904315199</v>
      </c>
      <c r="FL16" s="99">
        <v>24.117724202626601</v>
      </c>
      <c r="FM16" s="99">
        <v>24.202401500937999</v>
      </c>
      <c r="FN16" s="99">
        <v>24.2870787992495</v>
      </c>
      <c r="FO16" s="99">
        <v>24.371756097560901</v>
      </c>
      <c r="FP16" s="99">
        <v>24.456433395872399</v>
      </c>
      <c r="FQ16" s="99">
        <v>24.5411106941838</v>
      </c>
      <c r="FR16" s="99">
        <v>24.625787992495301</v>
      </c>
      <c r="FS16" s="99">
        <v>24.710465290806699</v>
      </c>
      <c r="FT16" s="99">
        <v>24.7951425891182</v>
      </c>
      <c r="FU16" s="99">
        <v>24.879819887429601</v>
      </c>
      <c r="FV16" s="99">
        <v>24.964497185741099</v>
      </c>
      <c r="FW16" s="99">
        <v>25.0491744840525</v>
      </c>
      <c r="FX16" s="99">
        <v>25.133851782363902</v>
      </c>
      <c r="FY16" s="99">
        <v>25.218529080675399</v>
      </c>
      <c r="FZ16" s="99">
        <v>25.3032063789868</v>
      </c>
      <c r="GA16" s="99">
        <v>25.387883677298301</v>
      </c>
      <c r="GB16" s="99">
        <v>25.472560975609699</v>
      </c>
      <c r="GC16" s="99">
        <v>25.5572382739212</v>
      </c>
      <c r="GD16" s="99">
        <v>25.641915572232602</v>
      </c>
      <c r="GE16" s="99">
        <v>25.726592870544099</v>
      </c>
      <c r="GF16" s="99">
        <v>25.811270168855501</v>
      </c>
      <c r="GG16" s="99">
        <v>25.895947467166899</v>
      </c>
      <c r="GH16" s="99">
        <v>25.980624765478399</v>
      </c>
      <c r="GI16" s="99">
        <v>26.065302063789801</v>
      </c>
      <c r="GJ16" s="99">
        <v>26.149979362101298</v>
      </c>
      <c r="GK16" s="99">
        <v>26.2346566604127</v>
      </c>
      <c r="GL16" s="99">
        <v>26.319333958724201</v>
      </c>
      <c r="GM16" s="99">
        <v>26.404011257035599</v>
      </c>
      <c r="GN16" s="99">
        <v>26.4886885553471</v>
      </c>
      <c r="GO16" s="99">
        <v>26.573365853658501</v>
      </c>
      <c r="GP16" s="99">
        <v>26.658043151969899</v>
      </c>
      <c r="GQ16" s="99">
        <v>26.7427204502814</v>
      </c>
      <c r="GR16" s="99">
        <v>26.827397748592801</v>
      </c>
      <c r="GS16" s="99">
        <v>26.912075046904299</v>
      </c>
      <c r="GT16" s="99">
        <v>26.9967523452157</v>
      </c>
      <c r="GU16" s="99">
        <v>27.081429643527201</v>
      </c>
      <c r="GV16" s="99">
        <v>27.166106941838599</v>
      </c>
      <c r="GW16" s="99">
        <v>27.2507842401501</v>
      </c>
      <c r="GX16" s="99">
        <v>27.335461538461502</v>
      </c>
      <c r="GY16" s="99">
        <v>27.4201388367729</v>
      </c>
      <c r="GZ16" s="99">
        <v>27.5048161350844</v>
      </c>
      <c r="HA16" s="99">
        <v>27.589493433395798</v>
      </c>
      <c r="HB16" s="99">
        <v>27.674170731707299</v>
      </c>
      <c r="HC16" s="99">
        <v>27.758848030018701</v>
      </c>
      <c r="HD16" s="99">
        <v>27.843525328330202</v>
      </c>
      <c r="HE16" s="99">
        <v>27.9282026266416</v>
      </c>
      <c r="HF16" s="99">
        <v>28.012879924953101</v>
      </c>
      <c r="HG16" s="99">
        <v>28.097557223264499</v>
      </c>
      <c r="HH16" s="99">
        <v>28.1822345215759</v>
      </c>
      <c r="HI16" s="99">
        <v>28.266911819887401</v>
      </c>
      <c r="HJ16" s="99">
        <v>28.351589118198799</v>
      </c>
      <c r="HK16" s="99">
        <v>28.4362664165103</v>
      </c>
      <c r="HL16" s="99">
        <v>28.520943714821701</v>
      </c>
      <c r="HM16" s="99">
        <v>28.605621013133199</v>
      </c>
      <c r="HN16" s="99">
        <v>28.6902983114446</v>
      </c>
      <c r="HO16" s="99">
        <v>28.774975609756101</v>
      </c>
      <c r="HP16" s="99">
        <v>28.859652908067499</v>
      </c>
      <c r="HQ16" s="99">
        <v>28.944330206378901</v>
      </c>
      <c r="HR16" s="99">
        <v>29.029007504690401</v>
      </c>
      <c r="HS16" s="99">
        <v>29.113684803001799</v>
      </c>
      <c r="HT16" s="99">
        <v>29.1983621013133</v>
      </c>
      <c r="HU16" s="99">
        <v>29.283039399624698</v>
      </c>
      <c r="HV16" s="99">
        <v>29.367716697936199</v>
      </c>
      <c r="HW16" s="99">
        <v>29.452393996247601</v>
      </c>
      <c r="HX16" s="99">
        <v>29.537071294559102</v>
      </c>
      <c r="HY16" s="99">
        <v>29.6217485928705</v>
      </c>
      <c r="HZ16" s="99">
        <v>29.706425891181901</v>
      </c>
      <c r="IA16" s="99">
        <v>29.791103189493398</v>
      </c>
      <c r="IB16" s="99">
        <v>29.8757804878048</v>
      </c>
      <c r="IC16" s="99">
        <v>29.960457786116301</v>
      </c>
      <c r="ID16" s="99">
        <v>30.045135084427699</v>
      </c>
      <c r="IE16" s="99">
        <v>30.1298123827392</v>
      </c>
      <c r="IF16" s="99">
        <v>30.214489681050601</v>
      </c>
      <c r="IG16" s="99">
        <v>30.299166979362099</v>
      </c>
      <c r="IH16" s="99">
        <v>30.3838442776735</v>
      </c>
      <c r="II16" s="99">
        <v>30.468521575985001</v>
      </c>
      <c r="IJ16" s="99">
        <v>30.553198874296399</v>
      </c>
      <c r="IK16" s="99">
        <v>30.6378761726078</v>
      </c>
      <c r="IL16" s="99">
        <v>30.722553470919301</v>
      </c>
      <c r="IM16" s="99">
        <v>30.807230769230699</v>
      </c>
      <c r="IN16" s="99">
        <v>30.8919080675422</v>
      </c>
      <c r="IO16" s="99">
        <v>30.976585365853602</v>
      </c>
      <c r="IP16" s="99">
        <v>31.061262664165099</v>
      </c>
      <c r="IQ16" s="99">
        <v>31.145939962476501</v>
      </c>
      <c r="IR16" s="99">
        <v>31.230617260788001</v>
      </c>
      <c r="IS16" s="99">
        <v>31.315294559099399</v>
      </c>
      <c r="IT16" s="99">
        <v>31.399971857410801</v>
      </c>
      <c r="IU16" s="99">
        <v>31.484649155722298</v>
      </c>
      <c r="IV16" s="99">
        <v>31.5693264540337</v>
      </c>
      <c r="IW16" s="99">
        <v>31.654003752345201</v>
      </c>
      <c r="IX16" s="99">
        <v>31.738681050656599</v>
      </c>
      <c r="IY16" s="99">
        <v>31.8233583489681</v>
      </c>
      <c r="IZ16" s="99">
        <v>31.908035647279501</v>
      </c>
      <c r="JA16" s="99">
        <v>31.992712945590998</v>
      </c>
      <c r="JB16" s="99">
        <v>32.0773902439024</v>
      </c>
      <c r="JC16" s="99">
        <v>32.162067542213798</v>
      </c>
      <c r="JD16" s="99">
        <v>32.246744840525302</v>
      </c>
      <c r="JE16" s="99">
        <v>32.3314221388367</v>
      </c>
      <c r="JF16" s="99">
        <v>32.416099437148198</v>
      </c>
      <c r="JG16" s="99">
        <v>32.500776735459603</v>
      </c>
      <c r="JH16" s="99">
        <v>32.5854540337711</v>
      </c>
      <c r="JI16" s="99">
        <v>32.670131332082498</v>
      </c>
      <c r="JJ16" s="99">
        <v>32.754808630394002</v>
      </c>
      <c r="JK16" s="99">
        <v>32.8394859287054</v>
      </c>
      <c r="JL16" s="99">
        <v>32.924163227016798</v>
      </c>
      <c r="JM16" s="99">
        <v>33.008840525328303</v>
      </c>
      <c r="JN16" s="99">
        <v>33.093517823639701</v>
      </c>
      <c r="JO16" s="99">
        <v>33.178195121951198</v>
      </c>
      <c r="JP16" s="99">
        <v>33.262872420262603</v>
      </c>
      <c r="JQ16" s="99">
        <v>33.347549718574101</v>
      </c>
      <c r="JR16" s="99">
        <v>33.432227016885498</v>
      </c>
      <c r="JS16" s="99">
        <v>33.516904315197003</v>
      </c>
      <c r="JT16" s="99">
        <v>33.601581613508401</v>
      </c>
      <c r="JU16" s="99">
        <v>33.686258911819799</v>
      </c>
      <c r="JV16" s="99">
        <v>33.770936210131303</v>
      </c>
      <c r="JW16" s="99">
        <v>33.855613508442701</v>
      </c>
      <c r="JX16" s="99">
        <v>33.940290806754199</v>
      </c>
      <c r="JY16" s="99">
        <v>34.024968105065597</v>
      </c>
      <c r="JZ16" s="99">
        <v>34.109645403377101</v>
      </c>
      <c r="KA16" s="99">
        <v>34.194322701688499</v>
      </c>
      <c r="KB16" s="99">
        <v>34.279000000000003</v>
      </c>
      <c r="KC16" s="99">
        <v>34.363677298311401</v>
      </c>
      <c r="KD16" s="99">
        <v>34.448354596622799</v>
      </c>
      <c r="KE16" s="99">
        <v>34.533031894934297</v>
      </c>
      <c r="KF16" s="99">
        <v>34.617709193245702</v>
      </c>
      <c r="KG16" s="99">
        <v>34.702386491557199</v>
      </c>
      <c r="KH16" s="99">
        <v>34.787063789868597</v>
      </c>
      <c r="KI16" s="99">
        <v>34.871741088180102</v>
      </c>
      <c r="KJ16" s="99">
        <v>34.956418386491499</v>
      </c>
      <c r="KK16" s="99">
        <v>35.041095684802997</v>
      </c>
      <c r="KL16" s="99">
        <v>35.125772983114402</v>
      </c>
      <c r="KM16" s="99">
        <v>35.2104502814258</v>
      </c>
      <c r="KN16" s="99">
        <v>35.295127579737297</v>
      </c>
      <c r="KO16" s="99">
        <v>35.379804878048702</v>
      </c>
      <c r="KP16" s="99">
        <v>35.4644821763602</v>
      </c>
      <c r="KQ16" s="99">
        <v>35.549159474671598</v>
      </c>
      <c r="KR16" s="99">
        <v>35.633836772983102</v>
      </c>
      <c r="KS16" s="99">
        <v>35.7185140712945</v>
      </c>
      <c r="KT16" s="99">
        <v>35.803191369605997</v>
      </c>
      <c r="KU16" s="99">
        <v>35.887868667917402</v>
      </c>
      <c r="KV16" s="99">
        <v>35.9725459662288</v>
      </c>
      <c r="KW16" s="99">
        <v>36.057223264540298</v>
      </c>
      <c r="KX16" s="99">
        <v>36.141900562851703</v>
      </c>
      <c r="KY16" s="99">
        <v>36.2265778611632</v>
      </c>
      <c r="KZ16" s="99">
        <v>36.311255159474598</v>
      </c>
      <c r="LA16" s="99">
        <v>36.395932457786103</v>
      </c>
      <c r="LB16" s="99">
        <v>36.4806097560975</v>
      </c>
      <c r="LC16" s="99">
        <v>36.565287054408998</v>
      </c>
      <c r="LD16" s="99">
        <v>36.649964352720403</v>
      </c>
      <c r="LE16" s="99">
        <v>36.734641651031801</v>
      </c>
      <c r="LF16" s="99">
        <v>36.819318949343298</v>
      </c>
      <c r="LG16" s="99">
        <v>36.903996247654703</v>
      </c>
      <c r="LH16" s="99">
        <v>36.988673545966201</v>
      </c>
      <c r="LI16" s="99">
        <v>37.073350844277599</v>
      </c>
      <c r="LJ16" s="99">
        <v>37.158028142589103</v>
      </c>
      <c r="LK16" s="99">
        <v>37.242705440900501</v>
      </c>
      <c r="LL16" s="99">
        <v>37.327382739211998</v>
      </c>
      <c r="LM16" s="99">
        <v>37.412060037523403</v>
      </c>
      <c r="LN16" s="99">
        <v>37.496737335834901</v>
      </c>
      <c r="LO16" s="99">
        <v>37.581414634146299</v>
      </c>
      <c r="LP16" s="99">
        <v>37.666091932457697</v>
      </c>
      <c r="LQ16" s="99">
        <v>37.750769230769201</v>
      </c>
      <c r="LR16" s="99">
        <v>37.835446529080599</v>
      </c>
      <c r="LS16" s="99">
        <v>37.920123827392104</v>
      </c>
      <c r="LT16" s="99">
        <v>38.004801125703501</v>
      </c>
      <c r="LU16" s="99">
        <v>38.089478424014999</v>
      </c>
      <c r="LV16" s="99">
        <v>38.174155722326397</v>
      </c>
      <c r="LW16" s="99">
        <v>38.258833020637901</v>
      </c>
      <c r="LX16" s="99">
        <v>38.343510318949299</v>
      </c>
      <c r="LY16" s="99">
        <v>38.428187617260697</v>
      </c>
      <c r="LZ16" s="99">
        <v>38.512864915572202</v>
      </c>
      <c r="MA16" s="99">
        <v>38.5975422138836</v>
      </c>
      <c r="MB16" s="99">
        <v>38.682219512195097</v>
      </c>
      <c r="MC16" s="99">
        <v>38.766896810506502</v>
      </c>
      <c r="MD16" s="99">
        <v>38.851574108817999</v>
      </c>
      <c r="ME16" s="99">
        <v>38.936251407129397</v>
      </c>
      <c r="MF16" s="99">
        <v>39.020928705440902</v>
      </c>
      <c r="MG16" s="99">
        <v>39.1056060037523</v>
      </c>
      <c r="MH16" s="99">
        <v>39.190283302063698</v>
      </c>
      <c r="MI16" s="99">
        <v>39.274960600375202</v>
      </c>
      <c r="MJ16" s="99">
        <v>39.3596378986866</v>
      </c>
      <c r="MK16" s="99">
        <v>39.444315196998097</v>
      </c>
      <c r="ML16" s="99">
        <v>39.528992495309502</v>
      </c>
      <c r="MM16" s="99">
        <v>39.613669793621</v>
      </c>
      <c r="MN16" s="99">
        <v>39.698347091932398</v>
      </c>
      <c r="MO16" s="99">
        <v>39.783024390243902</v>
      </c>
      <c r="MP16" s="99">
        <v>39.8677016885553</v>
      </c>
      <c r="MQ16" s="99">
        <v>39.952378986866698</v>
      </c>
      <c r="MR16" s="99">
        <v>40.037056285178203</v>
      </c>
      <c r="MS16" s="99">
        <v>40.121733583489601</v>
      </c>
      <c r="MT16" s="99">
        <v>40.206410881801098</v>
      </c>
      <c r="MU16" s="99">
        <v>40.291088180112503</v>
      </c>
      <c r="MV16" s="99">
        <v>40.375765478424</v>
      </c>
      <c r="MW16" s="99">
        <v>40.460442776735398</v>
      </c>
      <c r="MX16" s="99">
        <v>40.545120075046903</v>
      </c>
      <c r="MY16" s="99">
        <v>40.629797373358301</v>
      </c>
      <c r="MZ16" s="99">
        <v>40.714474671669699</v>
      </c>
      <c r="NA16" s="99">
        <v>40.799151969981203</v>
      </c>
      <c r="NB16" s="99">
        <v>40.883829268292601</v>
      </c>
      <c r="NC16" s="99">
        <v>40.968506566604098</v>
      </c>
      <c r="ND16" s="99">
        <v>41.053183864915503</v>
      </c>
      <c r="NE16" s="99">
        <v>41.137861163227001</v>
      </c>
      <c r="NF16" s="99">
        <v>41.222538461538399</v>
      </c>
      <c r="NG16" s="99">
        <v>41.307215759849903</v>
      </c>
      <c r="NH16" s="99">
        <v>41.391893058161301</v>
      </c>
      <c r="NI16" s="99">
        <v>41.476570356472699</v>
      </c>
      <c r="NJ16" s="99">
        <v>41.561247654784196</v>
      </c>
      <c r="NK16" s="99">
        <v>41.645924953095601</v>
      </c>
      <c r="NL16" s="99">
        <v>41.730602251407099</v>
      </c>
      <c r="NM16" s="99">
        <v>41.815279549718497</v>
      </c>
      <c r="NN16" s="99">
        <v>41.899956848030001</v>
      </c>
      <c r="NO16" s="99">
        <v>41.984634146341399</v>
      </c>
      <c r="NP16" s="99">
        <v>42.069311444652897</v>
      </c>
      <c r="NQ16" s="99">
        <v>42.153988742964302</v>
      </c>
      <c r="NR16" s="99">
        <v>42.238666041275799</v>
      </c>
      <c r="NS16" s="99">
        <v>42.323343339587197</v>
      </c>
      <c r="NT16" s="99">
        <v>42.408020637898602</v>
      </c>
      <c r="NU16" s="99">
        <v>42.492697936210099</v>
      </c>
      <c r="NV16" s="99">
        <v>42.577375234521497</v>
      </c>
      <c r="NW16" s="99">
        <v>42.662052532833002</v>
      </c>
      <c r="NX16" s="99">
        <v>42.7467298311444</v>
      </c>
      <c r="NY16" s="99">
        <v>42.831407129455897</v>
      </c>
      <c r="NZ16" s="99">
        <v>42.916084427767302</v>
      </c>
      <c r="OA16" s="99">
        <v>43.0007617260788</v>
      </c>
      <c r="OB16" s="99">
        <v>43.085439024390197</v>
      </c>
      <c r="OC16" s="99">
        <v>43.170116322701602</v>
      </c>
      <c r="OD16" s="99">
        <v>43.2547936210131</v>
      </c>
      <c r="OE16" s="99">
        <v>43.339470919324498</v>
      </c>
      <c r="OF16" s="99">
        <v>43.424148217636002</v>
      </c>
      <c r="OG16" s="99">
        <v>43.5088255159474</v>
      </c>
      <c r="OH16" s="99">
        <v>43.593502814258898</v>
      </c>
      <c r="OI16" s="99">
        <v>43.678180112570303</v>
      </c>
      <c r="OJ16" s="99">
        <v>43.7628574108818</v>
      </c>
      <c r="OK16" s="99">
        <v>43.847534709193198</v>
      </c>
      <c r="OL16" s="99">
        <v>43.932212007504603</v>
      </c>
      <c r="OM16" s="99">
        <v>44.0168893058161</v>
      </c>
      <c r="ON16" s="99">
        <v>44.101566604127498</v>
      </c>
      <c r="OO16" s="99">
        <v>44.186243902439003</v>
      </c>
      <c r="OP16" s="99">
        <v>44.270921200750401</v>
      </c>
      <c r="OQ16" s="99">
        <v>44.355598499061898</v>
      </c>
      <c r="OR16" s="99">
        <v>44.440275797373303</v>
      </c>
      <c r="OS16" s="99">
        <v>44.524953095684801</v>
      </c>
      <c r="OT16" s="99">
        <v>44.609630393996198</v>
      </c>
      <c r="OU16" s="99">
        <v>44.694307692307603</v>
      </c>
      <c r="OV16" s="99">
        <v>44.778984990619101</v>
      </c>
      <c r="OW16" s="99">
        <v>44.863662288930499</v>
      </c>
      <c r="OX16" s="99">
        <v>44.948339587242003</v>
      </c>
      <c r="OY16" s="99">
        <v>45.033016885553401</v>
      </c>
      <c r="OZ16" s="99">
        <v>45.117694183864899</v>
      </c>
      <c r="PA16" s="99">
        <v>45.202371482176297</v>
      </c>
      <c r="PB16" s="99">
        <v>45.287048780487801</v>
      </c>
      <c r="PC16" s="99">
        <v>45.371726078799199</v>
      </c>
      <c r="PD16" s="99">
        <v>45.456403377110597</v>
      </c>
      <c r="PE16" s="99">
        <v>45.541080675422101</v>
      </c>
      <c r="PF16" s="99">
        <v>45.625757973733499</v>
      </c>
      <c r="PG16" s="99">
        <v>45.710435272044997</v>
      </c>
      <c r="PH16" s="99">
        <v>45.795112570356402</v>
      </c>
      <c r="PI16" s="99">
        <v>45.879789868667899</v>
      </c>
      <c r="PJ16" s="99">
        <v>45.964467166979297</v>
      </c>
      <c r="PK16" s="99">
        <v>46.049144465290802</v>
      </c>
      <c r="PL16" s="99">
        <v>46.133821763602199</v>
      </c>
      <c r="PM16" s="99">
        <v>46.218499061913597</v>
      </c>
      <c r="PN16" s="99">
        <v>46.303176360225102</v>
      </c>
      <c r="PO16" s="99">
        <v>46.3878536585365</v>
      </c>
      <c r="PP16" s="99">
        <v>46.472530956847997</v>
      </c>
      <c r="PQ16" s="99">
        <v>46.557208255159402</v>
      </c>
      <c r="PR16" s="99">
        <v>46.6418855534709</v>
      </c>
      <c r="PS16" s="99">
        <v>46.726562851782298</v>
      </c>
      <c r="PT16" s="99">
        <v>46.811240150093802</v>
      </c>
      <c r="PU16" s="99">
        <v>46.8959174484052</v>
      </c>
      <c r="PV16" s="99">
        <v>46.980594746716598</v>
      </c>
      <c r="PW16" s="99">
        <v>47.065272045028102</v>
      </c>
      <c r="PX16" s="99">
        <v>47.1499493433395</v>
      </c>
      <c r="PY16" s="99">
        <v>47.234626641650998</v>
      </c>
      <c r="PZ16" s="99">
        <v>47.319303939962403</v>
      </c>
      <c r="QA16" s="99">
        <v>47.4039812382739</v>
      </c>
      <c r="QB16" s="99">
        <v>47.488658536585298</v>
      </c>
      <c r="QC16" s="99">
        <v>47.573335834896803</v>
      </c>
      <c r="QD16" s="99">
        <v>47.6580131332082</v>
      </c>
      <c r="QE16" s="99">
        <v>47.742690431519698</v>
      </c>
      <c r="QF16" s="99">
        <v>47.827367729831103</v>
      </c>
      <c r="QG16" s="99">
        <v>47.912045028142501</v>
      </c>
      <c r="QH16" s="99">
        <v>47.996722326453998</v>
      </c>
      <c r="QI16" s="99">
        <v>48.081399624765403</v>
      </c>
      <c r="QJ16" s="99">
        <v>48.166076923076901</v>
      </c>
      <c r="QK16" s="99">
        <v>48.250754221388299</v>
      </c>
      <c r="QL16" s="99">
        <v>48.335431519699803</v>
      </c>
      <c r="QM16" s="99">
        <v>48.420108818011201</v>
      </c>
      <c r="QN16" s="99">
        <v>48.504786116322698</v>
      </c>
      <c r="QO16" s="99">
        <v>48.589463414634103</v>
      </c>
      <c r="QP16" s="99">
        <v>48.674140712945501</v>
      </c>
      <c r="QQ16" s="99">
        <v>48.758818011256999</v>
      </c>
      <c r="QR16" s="99">
        <v>48.843495309568397</v>
      </c>
      <c r="QS16" s="99">
        <v>48.928172607879901</v>
      </c>
      <c r="QT16" s="99">
        <v>49.012849906191299</v>
      </c>
      <c r="QU16" s="99">
        <v>49.097527204502803</v>
      </c>
      <c r="QV16" s="99">
        <v>49.182204502814201</v>
      </c>
      <c r="QW16" s="99">
        <v>49.266881801125699</v>
      </c>
      <c r="QX16" s="99">
        <v>49.351559099437097</v>
      </c>
      <c r="QY16" s="99">
        <v>49.436236397748502</v>
      </c>
      <c r="QZ16" s="99">
        <v>49.520913696059999</v>
      </c>
      <c r="RA16" s="99">
        <v>49.605590994371397</v>
      </c>
      <c r="RB16" s="99">
        <v>49.690268292682902</v>
      </c>
      <c r="RC16" s="99">
        <v>49.774945590994299</v>
      </c>
      <c r="RD16" s="99">
        <v>49.859622889305797</v>
      </c>
      <c r="RE16" s="99">
        <v>49.944300187617202</v>
      </c>
      <c r="RF16" s="99">
        <v>50.028977485928699</v>
      </c>
      <c r="RG16" s="99">
        <v>50.113654784240097</v>
      </c>
      <c r="RH16" s="99">
        <v>50.198332082551502</v>
      </c>
      <c r="RI16" s="99">
        <v>50.283009380863</v>
      </c>
      <c r="RJ16" s="99">
        <v>50.367686679174398</v>
      </c>
      <c r="RK16" s="99">
        <v>50.452363977485902</v>
      </c>
      <c r="RL16" s="99">
        <v>50.5370412757973</v>
      </c>
      <c r="RM16" s="99">
        <v>50.621718574108797</v>
      </c>
      <c r="RN16" s="99">
        <v>50.706395872420202</v>
      </c>
      <c r="RO16" s="99">
        <v>50.7910731707317</v>
      </c>
      <c r="RP16" s="99">
        <v>50.875750469043098</v>
      </c>
      <c r="RQ16" s="99">
        <v>50.960427767354503</v>
      </c>
      <c r="RR16" s="99">
        <v>51.045105065666</v>
      </c>
      <c r="RS16" s="99">
        <v>51.129782363977398</v>
      </c>
      <c r="RT16" s="99">
        <v>51.214459662288903</v>
      </c>
      <c r="RU16" s="99">
        <v>51.2991369606003</v>
      </c>
      <c r="RV16" s="99">
        <v>51.383814258911798</v>
      </c>
      <c r="RW16" s="99">
        <v>51.468491557223203</v>
      </c>
      <c r="RX16" s="99">
        <v>51.5531688555347</v>
      </c>
      <c r="RY16" s="99">
        <v>51.637846153846098</v>
      </c>
      <c r="RZ16" s="99">
        <v>51.722523452157503</v>
      </c>
      <c r="SA16" s="99">
        <v>51.807200750469001</v>
      </c>
      <c r="SB16" s="99">
        <v>51.891878048780399</v>
      </c>
      <c r="SC16" s="99">
        <v>51.976555347091903</v>
      </c>
      <c r="SD16" s="99">
        <v>52.061232645403301</v>
      </c>
      <c r="SE16" s="99">
        <v>52.145909943714798</v>
      </c>
      <c r="SF16" s="99">
        <v>52.230587242026203</v>
      </c>
      <c r="SG16" s="99">
        <v>52.315264540337701</v>
      </c>
      <c r="SH16" s="99">
        <v>52.399941838649099</v>
      </c>
      <c r="SI16" s="99">
        <v>52.484619136960497</v>
      </c>
      <c r="SJ16" s="99">
        <v>52.569296435272001</v>
      </c>
      <c r="SK16" s="99">
        <v>52.653973733583399</v>
      </c>
      <c r="SL16" s="99">
        <v>52.738651031894904</v>
      </c>
      <c r="SM16" s="99">
        <v>52.823328330206301</v>
      </c>
      <c r="SN16" s="99">
        <v>52.908005628517799</v>
      </c>
      <c r="SO16" s="99">
        <v>52.992682926829197</v>
      </c>
      <c r="SP16" s="99">
        <v>53.077360225140701</v>
      </c>
      <c r="SQ16" s="99">
        <v>53.162037523452099</v>
      </c>
      <c r="SR16" s="99">
        <v>53.246714821763497</v>
      </c>
      <c r="SS16" s="99">
        <v>53.331392120075002</v>
      </c>
      <c r="ST16" s="99">
        <v>53.4160694183864</v>
      </c>
      <c r="SU16" s="99">
        <v>53.500746716697897</v>
      </c>
      <c r="SV16" s="99">
        <v>53.585424015009302</v>
      </c>
      <c r="SW16" s="99">
        <v>53.670101313320799</v>
      </c>
      <c r="SX16" s="99">
        <v>53.754778611632197</v>
      </c>
      <c r="SY16" s="99">
        <v>53.839455909943702</v>
      </c>
      <c r="SZ16" s="99">
        <v>53.9241332082551</v>
      </c>
      <c r="TA16" s="99">
        <v>54.008810506566498</v>
      </c>
      <c r="TB16" s="99">
        <v>54.093487804878002</v>
      </c>
      <c r="TC16" s="99">
        <v>54.1781651031894</v>
      </c>
      <c r="TD16" s="99">
        <v>54.262842401500897</v>
      </c>
      <c r="TE16" s="99">
        <v>54.347519699812302</v>
      </c>
      <c r="TF16" s="99">
        <v>54.4321969981238</v>
      </c>
      <c r="TG16" s="99">
        <v>54.516874296435198</v>
      </c>
      <c r="TH16" s="99">
        <v>54.601551594746702</v>
      </c>
      <c r="TI16" s="99">
        <v>54.6862288930581</v>
      </c>
      <c r="TJ16" s="99">
        <v>54.770906191369598</v>
      </c>
      <c r="TK16" s="99">
        <v>54.855583489681003</v>
      </c>
      <c r="TL16" s="99">
        <v>54.940260787992401</v>
      </c>
      <c r="TM16" s="99">
        <v>55.024938086303898</v>
      </c>
      <c r="TN16" s="99">
        <v>55.109615384615303</v>
      </c>
      <c r="TO16" s="99">
        <v>55.1942926829268</v>
      </c>
      <c r="TP16" s="99">
        <v>55.278969981238198</v>
      </c>
      <c r="TQ16" s="99">
        <v>55.363647279549703</v>
      </c>
      <c r="TR16" s="99">
        <v>55.448324577861101</v>
      </c>
      <c r="TS16" s="99">
        <v>55.533001876172598</v>
      </c>
      <c r="TT16" s="99">
        <v>55.617679174484003</v>
      </c>
      <c r="TU16" s="99">
        <v>55.702356472795401</v>
      </c>
      <c r="TV16" s="99">
        <v>55.787033771106898</v>
      </c>
      <c r="TW16" s="99">
        <v>55.871711069418303</v>
      </c>
      <c r="TX16" s="99">
        <v>55.956388367729801</v>
      </c>
      <c r="TY16" s="99">
        <v>56.041065666041199</v>
      </c>
      <c r="TZ16" s="99">
        <v>56.125742964352703</v>
      </c>
      <c r="UA16" s="99">
        <v>56.210420262664101</v>
      </c>
      <c r="UB16" s="99">
        <v>56.295097560975599</v>
      </c>
      <c r="UC16" s="99">
        <v>56.379774859286997</v>
      </c>
      <c r="UD16" s="99">
        <v>56.464452157598402</v>
      </c>
      <c r="UE16" s="99">
        <v>56.549129455909899</v>
      </c>
      <c r="UF16" s="99">
        <v>56.633806754221297</v>
      </c>
      <c r="UG16" s="99">
        <v>56.718484052532801</v>
      </c>
      <c r="UH16" s="99">
        <v>56.803161350844199</v>
      </c>
      <c r="UI16" s="99">
        <v>56.887838649155697</v>
      </c>
      <c r="UJ16" s="99">
        <v>56.972515947467102</v>
      </c>
      <c r="UK16" s="99">
        <v>57.057193245778599</v>
      </c>
      <c r="UL16" s="99">
        <v>57.141870544089997</v>
      </c>
      <c r="UM16" s="99">
        <v>57.226547842401402</v>
      </c>
      <c r="UN16" s="99">
        <v>57.311225140712899</v>
      </c>
      <c r="UO16" s="99">
        <v>57.395902439024297</v>
      </c>
      <c r="UP16" s="99">
        <v>57.480579737335802</v>
      </c>
      <c r="UQ16" s="99">
        <v>57.5652570356472</v>
      </c>
      <c r="UR16" s="99">
        <v>57.649934333958697</v>
      </c>
      <c r="US16" s="99">
        <v>57.734611632270102</v>
      </c>
      <c r="UT16" s="99">
        <v>57.8192889305815</v>
      </c>
    </row>
    <row r="17" spans="1:566" x14ac:dyDescent="0.2">
      <c r="A17" s="89">
        <v>5.5</v>
      </c>
      <c r="B17" s="90">
        <v>9.93</v>
      </c>
      <c r="C17" s="90">
        <v>10.02</v>
      </c>
      <c r="D17" s="90">
        <v>10.1</v>
      </c>
      <c r="E17" s="90">
        <v>10.18</v>
      </c>
      <c r="F17" s="90">
        <v>10.27</v>
      </c>
      <c r="G17" s="90">
        <v>10.35</v>
      </c>
      <c r="H17" s="90">
        <v>10.43</v>
      </c>
      <c r="I17" s="90">
        <v>10.52</v>
      </c>
      <c r="J17" s="90">
        <v>10.6</v>
      </c>
      <c r="K17" s="90">
        <v>10.68</v>
      </c>
      <c r="L17" s="90">
        <v>10.77</v>
      </c>
      <c r="M17" s="90">
        <v>10.85</v>
      </c>
      <c r="N17" s="90">
        <v>10.94</v>
      </c>
      <c r="O17" s="90">
        <v>11.02</v>
      </c>
      <c r="P17" s="90">
        <v>11.1</v>
      </c>
      <c r="Q17" s="90">
        <v>11.19</v>
      </c>
      <c r="R17" s="90">
        <v>11.27</v>
      </c>
      <c r="S17" s="90">
        <v>11.35</v>
      </c>
      <c r="T17" s="90">
        <v>11.44</v>
      </c>
      <c r="U17" s="91">
        <v>11.52</v>
      </c>
      <c r="V17" s="90">
        <v>11.6</v>
      </c>
      <c r="W17" s="90">
        <v>11.69</v>
      </c>
      <c r="X17" s="90">
        <v>11.77</v>
      </c>
      <c r="Y17" s="90">
        <v>11.86</v>
      </c>
      <c r="Z17" s="90">
        <v>11.94</v>
      </c>
      <c r="AA17" s="90">
        <v>12.02</v>
      </c>
      <c r="AB17" s="90">
        <v>12.11</v>
      </c>
      <c r="AC17" s="90">
        <v>12.19</v>
      </c>
      <c r="AD17" s="90">
        <v>12.27</v>
      </c>
      <c r="AE17" s="90">
        <v>12.36</v>
      </c>
      <c r="AF17" s="90">
        <v>12.44</v>
      </c>
      <c r="AG17" s="90">
        <v>12.52</v>
      </c>
      <c r="AH17" s="90">
        <v>12.61</v>
      </c>
      <c r="AI17" s="90">
        <v>12.69</v>
      </c>
      <c r="AJ17" s="90">
        <v>12.78</v>
      </c>
      <c r="AK17" s="90">
        <v>12.86</v>
      </c>
      <c r="AL17" s="90">
        <v>12.94</v>
      </c>
      <c r="AM17" s="90">
        <v>13.03</v>
      </c>
      <c r="AN17" s="90">
        <v>13.11</v>
      </c>
      <c r="AO17" s="91">
        <v>13.19</v>
      </c>
      <c r="AP17" s="90">
        <v>13.277076923076899</v>
      </c>
      <c r="AQ17" s="90">
        <v>13.3607026266417</v>
      </c>
      <c r="AR17" s="90">
        <v>13.4443283302064</v>
      </c>
      <c r="AS17" s="90">
        <v>13.527954033771101</v>
      </c>
      <c r="AT17" s="90">
        <v>13.6115797373358</v>
      </c>
      <c r="AU17" s="90">
        <v>13.695205440900599</v>
      </c>
      <c r="AV17" s="90">
        <v>13.7788311444653</v>
      </c>
      <c r="AW17" s="90">
        <v>13.86245684803</v>
      </c>
      <c r="AX17" s="90">
        <v>13.946082551594699</v>
      </c>
      <c r="AY17" s="90">
        <v>14.0297082551595</v>
      </c>
      <c r="AZ17" s="90">
        <v>14.113333958724199</v>
      </c>
      <c r="BA17" s="90">
        <v>14.196959662288901</v>
      </c>
      <c r="BB17" s="90">
        <v>14.2805853658537</v>
      </c>
      <c r="BC17" s="90">
        <v>14.364211069418401</v>
      </c>
      <c r="BD17" s="90">
        <v>14.4478367729831</v>
      </c>
      <c r="BE17" s="90">
        <v>14.5314624765478</v>
      </c>
      <c r="BF17" s="90">
        <v>14.6150881801126</v>
      </c>
      <c r="BG17" s="90">
        <v>14.6987138836773</v>
      </c>
      <c r="BH17" s="90">
        <v>14.782339587241999</v>
      </c>
      <c r="BI17" s="91">
        <v>14.8659652908068</v>
      </c>
      <c r="BJ17" s="90">
        <v>14.9495909943715</v>
      </c>
      <c r="BK17" s="99">
        <v>15.033216697936201</v>
      </c>
      <c r="BL17" s="99">
        <v>15.1168424015009</v>
      </c>
      <c r="BM17" s="99">
        <v>15.200468105065699</v>
      </c>
      <c r="BN17" s="99">
        <v>15.2840938086304</v>
      </c>
      <c r="BO17" s="99">
        <v>15.3677195121951</v>
      </c>
      <c r="BP17" s="99">
        <v>15.4513452157599</v>
      </c>
      <c r="BQ17" s="99">
        <v>15.5349709193246</v>
      </c>
      <c r="BR17" s="99">
        <v>15.618596622889299</v>
      </c>
      <c r="BS17" s="99">
        <v>15.702222326454001</v>
      </c>
      <c r="BT17" s="99">
        <v>15.7858480300188</v>
      </c>
      <c r="BU17" s="99">
        <v>15.869473733583501</v>
      </c>
      <c r="BV17" s="99">
        <v>15.9530994371482</v>
      </c>
      <c r="BW17" s="99">
        <v>16.0367251407129</v>
      </c>
      <c r="BX17" s="99">
        <v>16.120350844277699</v>
      </c>
      <c r="BY17" s="99">
        <v>16.203976547842402</v>
      </c>
      <c r="BZ17" s="99">
        <v>16.287602251407101</v>
      </c>
      <c r="CA17" s="99">
        <v>16.3712279549719</v>
      </c>
      <c r="CB17" s="99">
        <v>16.454853658536599</v>
      </c>
      <c r="CC17" s="99">
        <v>16.538479362101299</v>
      </c>
      <c r="CD17" s="99">
        <v>16.622105065665998</v>
      </c>
      <c r="CE17" s="99">
        <v>16.705730769230801</v>
      </c>
      <c r="CF17" s="99">
        <v>16.7893564727955</v>
      </c>
      <c r="CG17" s="99">
        <v>16.8729821763602</v>
      </c>
      <c r="CH17" s="99">
        <v>16.956607879924999</v>
      </c>
      <c r="CI17" s="99">
        <v>17.040233583489702</v>
      </c>
      <c r="CJ17" s="99">
        <v>17.123859287054401</v>
      </c>
      <c r="CK17" s="99">
        <v>17.207484990619101</v>
      </c>
      <c r="CL17" s="99">
        <v>17.291110694183899</v>
      </c>
      <c r="CM17" s="99">
        <v>17.374736397748599</v>
      </c>
      <c r="CN17" s="99">
        <v>17.458362101313298</v>
      </c>
      <c r="CO17" s="99">
        <v>17.541987804878101</v>
      </c>
      <c r="CP17" s="99">
        <v>17.6256135084428</v>
      </c>
      <c r="CQ17" s="99">
        <v>17.7092392120075</v>
      </c>
      <c r="CR17" s="99">
        <v>17.792864915572199</v>
      </c>
      <c r="CS17" s="99">
        <v>17.876490619137002</v>
      </c>
      <c r="CT17" s="99">
        <v>17.960116322701701</v>
      </c>
      <c r="CU17" s="99">
        <v>18.043742026266401</v>
      </c>
      <c r="CV17" s="99">
        <v>18.1273677298311</v>
      </c>
      <c r="CW17" s="99">
        <v>18.210993433395899</v>
      </c>
      <c r="CX17" s="99">
        <v>18.294619136960598</v>
      </c>
      <c r="CY17" s="99">
        <v>18.378244840525301</v>
      </c>
      <c r="CZ17" s="99">
        <v>18.4618705440901</v>
      </c>
      <c r="DA17" s="99">
        <v>18.5454962476548</v>
      </c>
      <c r="DB17" s="99">
        <v>18.629121951219499</v>
      </c>
      <c r="DC17" s="99">
        <v>18.712747654784199</v>
      </c>
      <c r="DD17" s="99">
        <v>18.796373358349001</v>
      </c>
      <c r="DE17" s="99">
        <v>18.879999061913701</v>
      </c>
      <c r="DF17" s="99">
        <v>18.9636247654784</v>
      </c>
      <c r="DG17" s="99">
        <v>19.047250469043199</v>
      </c>
      <c r="DH17" s="99">
        <v>19.130876172607898</v>
      </c>
      <c r="DI17" s="99">
        <v>19.214501876172601</v>
      </c>
      <c r="DJ17" s="99">
        <v>19.298127579737301</v>
      </c>
      <c r="DK17" s="99">
        <v>19.3817532833021</v>
      </c>
      <c r="DL17" s="99">
        <v>19.465378986866799</v>
      </c>
      <c r="DM17" s="99">
        <v>19.549004690431499</v>
      </c>
      <c r="DN17" s="99">
        <v>19.632630393996202</v>
      </c>
      <c r="DO17" s="99">
        <v>19.716256097561001</v>
      </c>
      <c r="DP17" s="99">
        <v>19.7998818011257</v>
      </c>
      <c r="DQ17" s="99">
        <v>19.8835075046904</v>
      </c>
      <c r="DR17" s="99">
        <v>19.967133208255198</v>
      </c>
      <c r="DS17" s="99">
        <v>20.050758911819901</v>
      </c>
      <c r="DT17" s="99">
        <v>20.134384615384601</v>
      </c>
      <c r="DU17" s="99">
        <v>20.2180103189493</v>
      </c>
      <c r="DV17" s="99">
        <v>20.301636022514099</v>
      </c>
      <c r="DW17" s="99">
        <v>20.385261726078799</v>
      </c>
      <c r="DX17" s="99">
        <v>20.468887429643502</v>
      </c>
      <c r="DY17" s="99">
        <v>20.552513133208301</v>
      </c>
      <c r="DZ17" s="99">
        <v>20.636138836773</v>
      </c>
      <c r="EA17" s="99">
        <v>20.7197645403377</v>
      </c>
      <c r="EB17" s="99">
        <v>20.803390243902399</v>
      </c>
      <c r="EC17" s="99">
        <v>20.887015947467201</v>
      </c>
      <c r="ED17" s="99">
        <v>20.970641651031901</v>
      </c>
      <c r="EE17" s="99">
        <v>21.0542673545966</v>
      </c>
      <c r="EF17" s="99">
        <v>21.1378930581613</v>
      </c>
      <c r="EG17" s="99">
        <v>21.221518761726099</v>
      </c>
      <c r="EH17" s="99">
        <v>21.305144465290802</v>
      </c>
      <c r="EI17" s="99">
        <v>21.388770168855501</v>
      </c>
      <c r="EJ17" s="99">
        <v>21.4723958724203</v>
      </c>
      <c r="EK17" s="99">
        <v>21.556021575985</v>
      </c>
      <c r="EL17" s="99">
        <v>21.639647279549699</v>
      </c>
      <c r="EM17" s="99">
        <v>21.723272983114398</v>
      </c>
      <c r="EN17" s="99">
        <v>21.806898686679201</v>
      </c>
      <c r="EO17" s="99">
        <v>21.8905243902439</v>
      </c>
      <c r="EP17" s="99">
        <v>21.9741500938086</v>
      </c>
      <c r="EQ17" s="99">
        <v>22.057775797373399</v>
      </c>
      <c r="ER17" s="99">
        <v>22.141401500938102</v>
      </c>
      <c r="ES17" s="99">
        <v>22.225027204502801</v>
      </c>
      <c r="ET17" s="99">
        <v>22.308652908067501</v>
      </c>
      <c r="EU17" s="99">
        <v>22.3922786116323</v>
      </c>
      <c r="EV17" s="99">
        <v>22.475904315196999</v>
      </c>
      <c r="EW17" s="99">
        <v>22.559530018761698</v>
      </c>
      <c r="EX17" s="99">
        <v>22.643155722326501</v>
      </c>
      <c r="EY17" s="99">
        <v>22.7267814258912</v>
      </c>
      <c r="EZ17" s="99">
        <v>22.8104071294559</v>
      </c>
      <c r="FA17" s="99">
        <v>22.894032833020599</v>
      </c>
      <c r="FB17" s="99">
        <v>22.977658536585398</v>
      </c>
      <c r="FC17" s="99">
        <v>23.061284240150101</v>
      </c>
      <c r="FD17" s="99">
        <v>23.144909943714801</v>
      </c>
      <c r="FE17" s="99">
        <v>23.2285356472795</v>
      </c>
      <c r="FF17" s="99">
        <v>23.312161350844299</v>
      </c>
      <c r="FG17" s="99">
        <v>23.395787054408999</v>
      </c>
      <c r="FH17" s="99">
        <v>23.479412757973702</v>
      </c>
      <c r="FI17" s="99">
        <v>23.5630384615385</v>
      </c>
      <c r="FJ17" s="99">
        <v>23.6466641651032</v>
      </c>
      <c r="FK17" s="99">
        <v>23.730289868667899</v>
      </c>
      <c r="FL17" s="99">
        <v>23.813915572232599</v>
      </c>
      <c r="FM17" s="99">
        <v>23.897541275797401</v>
      </c>
      <c r="FN17" s="99">
        <v>23.981166979362101</v>
      </c>
      <c r="FO17" s="99">
        <v>24.0647926829268</v>
      </c>
      <c r="FP17" s="99">
        <v>24.148418386491599</v>
      </c>
      <c r="FQ17" s="99">
        <v>24.232044090056299</v>
      </c>
      <c r="FR17" s="99">
        <v>24.315669793621002</v>
      </c>
      <c r="FS17" s="99">
        <v>24.399295497185701</v>
      </c>
      <c r="FT17" s="99">
        <v>24.4829212007505</v>
      </c>
      <c r="FU17" s="99">
        <v>24.566546904315199</v>
      </c>
      <c r="FV17" s="99">
        <v>24.650172607879899</v>
      </c>
      <c r="FW17" s="99">
        <v>24.733798311444701</v>
      </c>
      <c r="FX17" s="99">
        <v>24.817424015009401</v>
      </c>
      <c r="FY17" s="99">
        <v>24.9010497185741</v>
      </c>
      <c r="FZ17" s="99">
        <v>24.9846754221388</v>
      </c>
      <c r="GA17" s="99">
        <v>25.068301125703599</v>
      </c>
      <c r="GB17" s="99">
        <v>25.151926829268302</v>
      </c>
      <c r="GC17" s="99">
        <v>25.235552532833001</v>
      </c>
      <c r="GD17" s="99">
        <v>25.3191782363977</v>
      </c>
      <c r="GE17" s="99">
        <v>25.402803939962499</v>
      </c>
      <c r="GF17" s="99">
        <v>25.486429643527199</v>
      </c>
      <c r="GG17" s="99">
        <v>25.570055347091898</v>
      </c>
      <c r="GH17" s="99">
        <v>25.653681050656701</v>
      </c>
      <c r="GI17" s="99">
        <v>25.7373067542214</v>
      </c>
      <c r="GJ17" s="99">
        <v>25.8209324577861</v>
      </c>
      <c r="GK17" s="99">
        <v>25.904558161350799</v>
      </c>
      <c r="GL17" s="99">
        <v>25.988183864915602</v>
      </c>
      <c r="GM17" s="99">
        <v>26.071809568480301</v>
      </c>
      <c r="GN17" s="99">
        <v>26.155435272045001</v>
      </c>
      <c r="GO17" s="99">
        <v>26.239060975609799</v>
      </c>
      <c r="GP17" s="99">
        <v>26.322686679174499</v>
      </c>
      <c r="GQ17" s="99">
        <v>26.406312382739198</v>
      </c>
      <c r="GR17" s="99">
        <v>26.489938086303901</v>
      </c>
      <c r="GS17" s="99">
        <v>26.5735637898687</v>
      </c>
      <c r="GT17" s="99">
        <v>26.6571894934334</v>
      </c>
      <c r="GU17" s="99">
        <v>26.740815196998099</v>
      </c>
      <c r="GV17" s="99">
        <v>26.824440900562902</v>
      </c>
      <c r="GW17" s="99">
        <v>26.908066604127601</v>
      </c>
      <c r="GX17" s="99">
        <v>26.991692307692301</v>
      </c>
      <c r="GY17" s="99">
        <v>27.075318011257</v>
      </c>
      <c r="GZ17" s="99">
        <v>27.158943714821799</v>
      </c>
      <c r="HA17" s="99">
        <v>27.242569418386498</v>
      </c>
      <c r="HB17" s="99">
        <v>27.326195121951201</v>
      </c>
      <c r="HC17" s="99">
        <v>27.409820825515901</v>
      </c>
      <c r="HD17" s="99">
        <v>27.4934465290807</v>
      </c>
      <c r="HE17" s="99">
        <v>27.577072232645399</v>
      </c>
      <c r="HF17" s="99">
        <v>27.660697936210099</v>
      </c>
      <c r="HG17" s="99">
        <v>27.744323639774901</v>
      </c>
      <c r="HH17" s="99">
        <v>27.827949343339601</v>
      </c>
      <c r="HI17" s="99">
        <v>27.9115750469043</v>
      </c>
      <c r="HJ17" s="99">
        <v>27.995200750468999</v>
      </c>
      <c r="HK17" s="99">
        <v>28.078826454033798</v>
      </c>
      <c r="HL17" s="99">
        <v>28.162452157598501</v>
      </c>
      <c r="HM17" s="99">
        <v>28.246077861163201</v>
      </c>
      <c r="HN17" s="99">
        <v>28.329703564728</v>
      </c>
      <c r="HO17" s="99">
        <v>28.413329268292699</v>
      </c>
      <c r="HP17" s="99">
        <v>28.496954971857399</v>
      </c>
      <c r="HQ17" s="99">
        <v>28.580580675422102</v>
      </c>
      <c r="HR17" s="99">
        <v>28.664206378986901</v>
      </c>
      <c r="HS17" s="99">
        <v>28.7478320825516</v>
      </c>
      <c r="HT17" s="99">
        <v>28.8314577861163</v>
      </c>
      <c r="HU17" s="99">
        <v>28.915083489680999</v>
      </c>
      <c r="HV17" s="99">
        <v>28.998709193245801</v>
      </c>
      <c r="HW17" s="99">
        <v>29.082334896810501</v>
      </c>
      <c r="HX17" s="99">
        <v>29.1659606003752</v>
      </c>
      <c r="HY17" s="99">
        <v>29.249586303939999</v>
      </c>
      <c r="HZ17" s="99">
        <v>29.333212007504699</v>
      </c>
      <c r="IA17" s="99">
        <v>29.416837711069402</v>
      </c>
      <c r="IB17" s="99">
        <v>29.500463414634101</v>
      </c>
      <c r="IC17" s="99">
        <v>29.5840891181989</v>
      </c>
      <c r="ID17" s="99">
        <v>29.6677148217636</v>
      </c>
      <c r="IE17" s="99">
        <v>29.751340525328299</v>
      </c>
      <c r="IF17" s="99">
        <v>29.834966228893101</v>
      </c>
      <c r="IG17" s="99">
        <v>29.918591932457801</v>
      </c>
      <c r="IH17" s="99">
        <v>30.0022176360225</v>
      </c>
      <c r="II17" s="99">
        <v>30.0858433395872</v>
      </c>
      <c r="IJ17" s="99">
        <v>30.169469043151999</v>
      </c>
      <c r="IK17" s="99">
        <v>30.253094746716702</v>
      </c>
      <c r="IL17" s="99">
        <v>30.336720450281401</v>
      </c>
      <c r="IM17" s="99">
        <v>30.4203461538462</v>
      </c>
      <c r="IN17" s="99">
        <v>30.5039718574109</v>
      </c>
      <c r="IO17" s="99">
        <v>30.587597560975599</v>
      </c>
      <c r="IP17" s="99">
        <v>30.671223264540298</v>
      </c>
      <c r="IQ17" s="99">
        <v>30.754848968105101</v>
      </c>
      <c r="IR17" s="99">
        <v>30.8384746716698</v>
      </c>
      <c r="IS17" s="99">
        <v>30.9221003752345</v>
      </c>
      <c r="IT17" s="99">
        <v>31.005726078799199</v>
      </c>
      <c r="IU17" s="99">
        <v>31.089351782364002</v>
      </c>
      <c r="IV17" s="99">
        <v>31.172977485928701</v>
      </c>
      <c r="IW17" s="99">
        <v>31.256603189493401</v>
      </c>
      <c r="IX17" s="99">
        <v>31.3402288930582</v>
      </c>
      <c r="IY17" s="99">
        <v>31.423854596622899</v>
      </c>
      <c r="IZ17" s="99">
        <v>31.507480300187598</v>
      </c>
      <c r="JA17" s="99">
        <v>31.591106003752301</v>
      </c>
      <c r="JB17" s="99">
        <v>31.6747317073171</v>
      </c>
      <c r="JC17" s="99">
        <v>31.7583574108818</v>
      </c>
      <c r="JD17" s="99">
        <v>31.841983114446499</v>
      </c>
      <c r="JE17" s="99">
        <v>31.925608818011298</v>
      </c>
      <c r="JF17" s="99">
        <v>32.009234521575998</v>
      </c>
      <c r="JG17" s="99">
        <v>32.092860225140697</v>
      </c>
      <c r="JH17" s="99">
        <v>32.176485928705397</v>
      </c>
      <c r="JI17" s="99">
        <v>32.260111632270203</v>
      </c>
      <c r="JJ17" s="99">
        <v>32.343737335834902</v>
      </c>
      <c r="JK17" s="99">
        <v>32.427363039399602</v>
      </c>
      <c r="JL17" s="99">
        <v>32.5109887429644</v>
      </c>
      <c r="JM17" s="99">
        <v>32.5946144465291</v>
      </c>
      <c r="JN17" s="99">
        <v>32.678240150093799</v>
      </c>
      <c r="JO17" s="99">
        <v>32.761865853658499</v>
      </c>
      <c r="JP17" s="99">
        <v>32.845491557223298</v>
      </c>
      <c r="JQ17" s="99">
        <v>32.929117260787997</v>
      </c>
      <c r="JR17" s="99">
        <v>33.012742964352697</v>
      </c>
      <c r="JS17" s="99">
        <v>33.096368667917403</v>
      </c>
      <c r="JT17" s="99">
        <v>33.179994371482202</v>
      </c>
      <c r="JU17" s="99">
        <v>33.263620075046902</v>
      </c>
      <c r="JV17" s="99">
        <v>33.347245778611601</v>
      </c>
      <c r="JW17" s="99">
        <v>33.4308714821764</v>
      </c>
      <c r="JX17" s="99">
        <v>33.514497185741099</v>
      </c>
      <c r="JY17" s="99">
        <v>33.598122889305799</v>
      </c>
      <c r="JZ17" s="99">
        <v>33.681748592870498</v>
      </c>
      <c r="KA17" s="99">
        <v>33.765374296435297</v>
      </c>
      <c r="KB17" s="99">
        <v>33.848999999999997</v>
      </c>
      <c r="KC17" s="99">
        <v>33.932625703564703</v>
      </c>
      <c r="KD17" s="99">
        <v>34.016251407129502</v>
      </c>
      <c r="KE17" s="99">
        <v>34.099877110694202</v>
      </c>
      <c r="KF17" s="99">
        <v>34.183502814258901</v>
      </c>
      <c r="KG17" s="99">
        <v>34.2671285178236</v>
      </c>
      <c r="KH17" s="99">
        <v>34.350754221388399</v>
      </c>
      <c r="KI17" s="99">
        <v>34.434379924953099</v>
      </c>
      <c r="KJ17" s="99">
        <v>34.518005628517798</v>
      </c>
      <c r="KK17" s="99">
        <v>34.601631332082597</v>
      </c>
      <c r="KL17" s="99">
        <v>34.685257035647297</v>
      </c>
      <c r="KM17" s="99">
        <v>34.768882739212003</v>
      </c>
      <c r="KN17" s="99">
        <v>34.852508442776703</v>
      </c>
      <c r="KO17" s="99">
        <v>34.936134146341502</v>
      </c>
      <c r="KP17" s="99">
        <v>35.019759849906201</v>
      </c>
      <c r="KQ17" s="99">
        <v>35.103385553470901</v>
      </c>
      <c r="KR17" s="99">
        <v>35.1870112570356</v>
      </c>
      <c r="KS17" s="99">
        <v>35.270636960600399</v>
      </c>
      <c r="KT17" s="99">
        <v>35.354262664165098</v>
      </c>
      <c r="KU17" s="99">
        <v>35.437888367729798</v>
      </c>
      <c r="KV17" s="99">
        <v>35.521514071294597</v>
      </c>
      <c r="KW17" s="99">
        <v>35.605139774859303</v>
      </c>
      <c r="KX17" s="99">
        <v>35.688765478424003</v>
      </c>
      <c r="KY17" s="99">
        <v>35.772391181988702</v>
      </c>
      <c r="KZ17" s="99">
        <v>35.856016885553501</v>
      </c>
      <c r="LA17" s="99">
        <v>35.939642589118201</v>
      </c>
      <c r="LB17" s="99">
        <v>36.0232682926829</v>
      </c>
      <c r="LC17" s="99">
        <v>36.106893996247699</v>
      </c>
      <c r="LD17" s="99">
        <v>36.190519699812398</v>
      </c>
      <c r="LE17" s="99">
        <v>36.274145403377098</v>
      </c>
      <c r="LF17" s="99">
        <v>36.357771106941797</v>
      </c>
      <c r="LG17" s="99">
        <v>36.441396810506603</v>
      </c>
      <c r="LH17" s="99">
        <v>36.525022514071303</v>
      </c>
      <c r="LI17" s="99">
        <v>36.608648217636002</v>
      </c>
      <c r="LJ17" s="99">
        <v>36.692273921200801</v>
      </c>
      <c r="LK17" s="99">
        <v>36.775899624765501</v>
      </c>
      <c r="LL17" s="99">
        <v>36.8595253283302</v>
      </c>
      <c r="LM17" s="99">
        <v>36.943151031894899</v>
      </c>
      <c r="LN17" s="99">
        <v>37.026776735459698</v>
      </c>
      <c r="LO17" s="99">
        <v>37.110402439024398</v>
      </c>
      <c r="LP17" s="99">
        <v>37.194028142589097</v>
      </c>
      <c r="LQ17" s="99">
        <v>37.277653846153797</v>
      </c>
      <c r="LR17" s="99">
        <v>37.361279549718603</v>
      </c>
      <c r="LS17" s="99">
        <v>37.444905253283302</v>
      </c>
      <c r="LT17" s="99">
        <v>37.528530956848002</v>
      </c>
      <c r="LU17" s="99">
        <v>37.612156660412801</v>
      </c>
      <c r="LV17" s="99">
        <v>37.6957823639775</v>
      </c>
      <c r="LW17" s="99">
        <v>37.779408067542199</v>
      </c>
      <c r="LX17" s="99">
        <v>37.863033771106899</v>
      </c>
      <c r="LY17" s="99">
        <v>37.946659474671698</v>
      </c>
      <c r="LZ17" s="99">
        <v>38.030285178236397</v>
      </c>
      <c r="MA17" s="99">
        <v>38.113910881801097</v>
      </c>
      <c r="MB17" s="99">
        <v>38.197536585365903</v>
      </c>
      <c r="MC17" s="99">
        <v>38.281162288930602</v>
      </c>
      <c r="MD17" s="99">
        <v>38.364787992495302</v>
      </c>
      <c r="ME17" s="99">
        <v>38.448413696060001</v>
      </c>
      <c r="MF17" s="99">
        <v>38.5320393996248</v>
      </c>
      <c r="MG17" s="99">
        <v>38.6156651031895</v>
      </c>
      <c r="MH17" s="99">
        <v>38.699290806754199</v>
      </c>
      <c r="MI17" s="99">
        <v>38.782916510318898</v>
      </c>
      <c r="MJ17" s="99">
        <v>38.866542213883697</v>
      </c>
      <c r="MK17" s="99">
        <v>38.950167917448397</v>
      </c>
      <c r="ML17" s="99">
        <v>39.033793621013103</v>
      </c>
      <c r="MM17" s="99">
        <v>39.117419324577902</v>
      </c>
      <c r="MN17" s="99">
        <v>39.201045028142602</v>
      </c>
      <c r="MO17" s="99">
        <v>39.284670731707301</v>
      </c>
      <c r="MP17" s="99">
        <v>39.368296435272001</v>
      </c>
      <c r="MQ17" s="99">
        <v>39.4519221388368</v>
      </c>
      <c r="MR17" s="99">
        <v>39.535547842401499</v>
      </c>
      <c r="MS17" s="99">
        <v>39.619173545966198</v>
      </c>
      <c r="MT17" s="99">
        <v>39.702799249530997</v>
      </c>
      <c r="MU17" s="99">
        <v>39.786424953095697</v>
      </c>
      <c r="MV17" s="99">
        <v>39.870050656660403</v>
      </c>
      <c r="MW17" s="99">
        <v>39.953676360225103</v>
      </c>
      <c r="MX17" s="99">
        <v>40.037302063789902</v>
      </c>
      <c r="MY17" s="99">
        <v>40.120927767354601</v>
      </c>
      <c r="MZ17" s="99">
        <v>40.204553470919301</v>
      </c>
      <c r="NA17" s="99">
        <v>40.2881791744841</v>
      </c>
      <c r="NB17" s="99">
        <v>40.371804878048799</v>
      </c>
      <c r="NC17" s="99">
        <v>40.455430581613498</v>
      </c>
      <c r="ND17" s="99">
        <v>40.539056285178198</v>
      </c>
      <c r="NE17" s="99">
        <v>40.622681988742997</v>
      </c>
      <c r="NF17" s="99">
        <v>40.706307692307703</v>
      </c>
      <c r="NG17" s="99">
        <v>40.789933395872403</v>
      </c>
      <c r="NH17" s="99">
        <v>40.873559099437102</v>
      </c>
      <c r="NI17" s="99">
        <v>40.957184803001901</v>
      </c>
      <c r="NJ17" s="99">
        <v>41.040810506566601</v>
      </c>
      <c r="NK17" s="99">
        <v>41.1244362101313</v>
      </c>
      <c r="NL17" s="99">
        <v>41.208061913696099</v>
      </c>
      <c r="NM17" s="99">
        <v>41.291687617260799</v>
      </c>
      <c r="NN17" s="99">
        <v>41.375313320825498</v>
      </c>
      <c r="NO17" s="99">
        <v>41.458939024390197</v>
      </c>
      <c r="NP17" s="99">
        <v>41.542564727955003</v>
      </c>
      <c r="NQ17" s="99">
        <v>41.626190431519703</v>
      </c>
      <c r="NR17" s="99">
        <v>41.709816135084402</v>
      </c>
      <c r="NS17" s="99">
        <v>41.793441838649201</v>
      </c>
      <c r="NT17" s="99">
        <v>41.877067542213901</v>
      </c>
      <c r="NU17" s="99">
        <v>41.9606932457786</v>
      </c>
      <c r="NV17" s="99">
        <v>42.0443189493433</v>
      </c>
      <c r="NW17" s="99">
        <v>42.127944652908099</v>
      </c>
      <c r="NX17" s="99">
        <v>42.211570356472798</v>
      </c>
      <c r="NY17" s="99">
        <v>42.295196060037497</v>
      </c>
      <c r="NZ17" s="99">
        <v>42.378821763602197</v>
      </c>
      <c r="OA17" s="99">
        <v>42.462447467167003</v>
      </c>
      <c r="OB17" s="99">
        <v>42.546073170731702</v>
      </c>
      <c r="OC17" s="99">
        <v>42.629698874296402</v>
      </c>
      <c r="OD17" s="99">
        <v>42.713324577861201</v>
      </c>
      <c r="OE17" s="99">
        <v>42.7969502814259</v>
      </c>
      <c r="OF17" s="99">
        <v>42.8805759849906</v>
      </c>
      <c r="OG17" s="99">
        <v>42.964201688555299</v>
      </c>
      <c r="OH17" s="99">
        <v>43.047827392120098</v>
      </c>
      <c r="OI17" s="99">
        <v>43.131453095684797</v>
      </c>
      <c r="OJ17" s="99">
        <v>43.215078799249497</v>
      </c>
      <c r="OK17" s="99">
        <v>43.298704502814303</v>
      </c>
      <c r="OL17" s="99">
        <v>43.382330206379002</v>
      </c>
      <c r="OM17" s="99">
        <v>43.465955909943702</v>
      </c>
      <c r="ON17" s="99">
        <v>43.549581613508401</v>
      </c>
      <c r="OO17" s="99">
        <v>43.6332073170732</v>
      </c>
      <c r="OP17" s="99">
        <v>43.7168330206379</v>
      </c>
      <c r="OQ17" s="99">
        <v>43.800458724202599</v>
      </c>
      <c r="OR17" s="99">
        <v>43.884084427767398</v>
      </c>
      <c r="OS17" s="99">
        <v>43.967710131332097</v>
      </c>
      <c r="OT17" s="99">
        <v>44.051335834896797</v>
      </c>
      <c r="OU17" s="99">
        <v>44.134961538461503</v>
      </c>
      <c r="OV17" s="99">
        <v>44.218587242026302</v>
      </c>
      <c r="OW17" s="99">
        <v>44.302212945591002</v>
      </c>
      <c r="OX17" s="99">
        <v>44.385838649155701</v>
      </c>
      <c r="OY17" s="99">
        <v>44.4694643527205</v>
      </c>
      <c r="OZ17" s="99">
        <v>44.5530900562852</v>
      </c>
      <c r="PA17" s="99">
        <v>44.636715759849899</v>
      </c>
      <c r="PB17" s="99">
        <v>44.720341463414599</v>
      </c>
      <c r="PC17" s="99">
        <v>44.803967166979398</v>
      </c>
      <c r="PD17" s="99">
        <v>44.887592870544097</v>
      </c>
      <c r="PE17" s="99">
        <v>44.971218574108804</v>
      </c>
      <c r="PF17" s="99">
        <v>45.054844277673503</v>
      </c>
      <c r="PG17" s="99">
        <v>45.138469981238302</v>
      </c>
      <c r="PH17" s="99">
        <v>45.222095684803001</v>
      </c>
      <c r="PI17" s="99">
        <v>45.305721388367701</v>
      </c>
      <c r="PJ17" s="99">
        <v>45.3893470919325</v>
      </c>
      <c r="PK17" s="99">
        <v>45.472972795497199</v>
      </c>
      <c r="PL17" s="99">
        <v>45.556598499061899</v>
      </c>
      <c r="PM17" s="99">
        <v>45.640224202626598</v>
      </c>
      <c r="PN17" s="99">
        <v>45.723849906191397</v>
      </c>
      <c r="PO17" s="99">
        <v>45.807475609756096</v>
      </c>
      <c r="PP17" s="99">
        <v>45.891101313320803</v>
      </c>
      <c r="PQ17" s="99">
        <v>45.974727016885602</v>
      </c>
      <c r="PR17" s="99">
        <v>46.058352720450301</v>
      </c>
      <c r="PS17" s="99">
        <v>46.141978424015001</v>
      </c>
      <c r="PT17" s="99">
        <v>46.2256041275797</v>
      </c>
      <c r="PU17" s="99">
        <v>46.309229831144499</v>
      </c>
      <c r="PV17" s="99">
        <v>46.392855534709199</v>
      </c>
      <c r="PW17" s="99">
        <v>46.476481238273898</v>
      </c>
      <c r="PX17" s="99">
        <v>46.560106941838697</v>
      </c>
      <c r="PY17" s="99">
        <v>46.643732645403396</v>
      </c>
      <c r="PZ17" s="99">
        <v>46.727358348968103</v>
      </c>
      <c r="QA17" s="99">
        <v>46.810984052532802</v>
      </c>
      <c r="QB17" s="99">
        <v>46.894609756097601</v>
      </c>
      <c r="QC17" s="99">
        <v>46.978235459662301</v>
      </c>
      <c r="QD17" s="99">
        <v>47.061861163227</v>
      </c>
      <c r="QE17" s="99">
        <v>47.1454868667917</v>
      </c>
      <c r="QF17" s="99">
        <v>47.229112570356499</v>
      </c>
      <c r="QG17" s="99">
        <v>47.312738273921198</v>
      </c>
      <c r="QH17" s="99">
        <v>47.396363977485898</v>
      </c>
      <c r="QI17" s="99">
        <v>47.479989681050697</v>
      </c>
      <c r="QJ17" s="99">
        <v>47.563615384615403</v>
      </c>
      <c r="QK17" s="99">
        <v>47.647241088180103</v>
      </c>
      <c r="QL17" s="99">
        <v>47.730866791744802</v>
      </c>
      <c r="QM17" s="99">
        <v>47.814492495309601</v>
      </c>
      <c r="QN17" s="99">
        <v>47.8981181988743</v>
      </c>
      <c r="QO17" s="99">
        <v>47.981743902439</v>
      </c>
      <c r="QP17" s="99">
        <v>48.065369606003799</v>
      </c>
      <c r="QQ17" s="99">
        <v>48.148995309568498</v>
      </c>
      <c r="QR17" s="99">
        <v>48.232621013133198</v>
      </c>
      <c r="QS17" s="99">
        <v>48.316246716697897</v>
      </c>
      <c r="QT17" s="99">
        <v>48.399872420262703</v>
      </c>
      <c r="QU17" s="99">
        <v>48.483498123827403</v>
      </c>
      <c r="QV17" s="99">
        <v>48.567123827392102</v>
      </c>
      <c r="QW17" s="99">
        <v>48.650749530956801</v>
      </c>
      <c r="QX17" s="99">
        <v>48.7343752345216</v>
      </c>
      <c r="QY17" s="99">
        <v>48.8180009380863</v>
      </c>
      <c r="QZ17" s="99">
        <v>48.901626641650999</v>
      </c>
      <c r="RA17" s="99">
        <v>48.985252345215798</v>
      </c>
      <c r="RB17" s="99">
        <v>49.068878048780498</v>
      </c>
      <c r="RC17" s="99">
        <v>49.152503752345197</v>
      </c>
      <c r="RD17" s="99">
        <v>49.236129455909897</v>
      </c>
      <c r="RE17" s="99">
        <v>49.319755159474703</v>
      </c>
      <c r="RF17" s="99">
        <v>49.403380863039402</v>
      </c>
      <c r="RG17" s="99">
        <v>49.487006566604101</v>
      </c>
      <c r="RH17" s="99">
        <v>49.5706322701689</v>
      </c>
      <c r="RI17" s="99">
        <v>49.6542579737336</v>
      </c>
      <c r="RJ17" s="99">
        <v>49.737883677298299</v>
      </c>
      <c r="RK17" s="99">
        <v>49.821509380862999</v>
      </c>
      <c r="RL17" s="99">
        <v>49.905135084427798</v>
      </c>
      <c r="RM17" s="99">
        <v>49.988760787992497</v>
      </c>
      <c r="RN17" s="99">
        <v>50.072386491557197</v>
      </c>
      <c r="RO17" s="99">
        <v>50.156012195122003</v>
      </c>
      <c r="RP17" s="99">
        <v>50.239637898686702</v>
      </c>
      <c r="RQ17" s="99">
        <v>50.323263602251401</v>
      </c>
      <c r="RR17" s="99">
        <v>50.406889305816101</v>
      </c>
      <c r="RS17" s="99">
        <v>50.4905150093809</v>
      </c>
      <c r="RT17" s="99">
        <v>50.574140712945599</v>
      </c>
      <c r="RU17" s="99">
        <v>50.657766416510299</v>
      </c>
      <c r="RV17" s="99">
        <v>50.741392120075098</v>
      </c>
      <c r="RW17" s="99">
        <v>50.825017823639797</v>
      </c>
      <c r="RX17" s="99">
        <v>50.908643527204497</v>
      </c>
      <c r="RY17" s="99">
        <v>50.992269230769203</v>
      </c>
      <c r="RZ17" s="99">
        <v>51.075894934334002</v>
      </c>
      <c r="SA17" s="99">
        <v>51.159520637898702</v>
      </c>
      <c r="SB17" s="99">
        <v>51.243146341463401</v>
      </c>
      <c r="SC17" s="99">
        <v>51.3267720450281</v>
      </c>
      <c r="SD17" s="99">
        <v>51.410397748592899</v>
      </c>
      <c r="SE17" s="99">
        <v>51.494023452157599</v>
      </c>
      <c r="SF17" s="99">
        <v>51.577649155722298</v>
      </c>
      <c r="SG17" s="99">
        <v>51.661274859287097</v>
      </c>
      <c r="SH17" s="99">
        <v>51.744900562851797</v>
      </c>
      <c r="SI17" s="99">
        <v>51.828526266416503</v>
      </c>
      <c r="SJ17" s="99">
        <v>51.912151969981203</v>
      </c>
      <c r="SK17" s="99">
        <v>51.995777673546002</v>
      </c>
      <c r="SL17" s="99">
        <v>52.079403377110701</v>
      </c>
      <c r="SM17" s="99">
        <v>52.1630290806754</v>
      </c>
      <c r="SN17" s="99">
        <v>52.246654784240199</v>
      </c>
      <c r="SO17" s="99">
        <v>52.330280487804899</v>
      </c>
      <c r="SP17" s="99">
        <v>52.413906191369598</v>
      </c>
      <c r="SQ17" s="99">
        <v>52.497531894934298</v>
      </c>
      <c r="SR17" s="99">
        <v>52.581157598499097</v>
      </c>
      <c r="SS17" s="99">
        <v>52.664783302063803</v>
      </c>
      <c r="ST17" s="99">
        <v>52.748409005628503</v>
      </c>
      <c r="SU17" s="99">
        <v>52.832034709193202</v>
      </c>
      <c r="SV17" s="99">
        <v>52.915660412758001</v>
      </c>
      <c r="SW17" s="99">
        <v>52.9992861163227</v>
      </c>
      <c r="SX17" s="99">
        <v>53.0829118198874</v>
      </c>
      <c r="SY17" s="99">
        <v>53.166537523452199</v>
      </c>
      <c r="SZ17" s="99">
        <v>53.250163227016898</v>
      </c>
      <c r="TA17" s="99">
        <v>53.333788930581598</v>
      </c>
      <c r="TB17" s="99">
        <v>53.417414634146297</v>
      </c>
      <c r="TC17" s="99">
        <v>53.501040337711103</v>
      </c>
      <c r="TD17" s="99">
        <v>53.584666041275803</v>
      </c>
      <c r="TE17" s="99">
        <v>53.668291744840502</v>
      </c>
      <c r="TF17" s="99">
        <v>53.751917448405301</v>
      </c>
      <c r="TG17" s="99">
        <v>53.835543151970001</v>
      </c>
      <c r="TH17" s="99">
        <v>53.9191688555347</v>
      </c>
      <c r="TI17" s="99">
        <v>54.002794559099399</v>
      </c>
      <c r="TJ17" s="99">
        <v>54.086420262664198</v>
      </c>
      <c r="TK17" s="99">
        <v>54.170045966228898</v>
      </c>
      <c r="TL17" s="99">
        <v>54.253671669793597</v>
      </c>
      <c r="TM17" s="99">
        <v>54.337297373358297</v>
      </c>
      <c r="TN17" s="99">
        <v>54.420923076923103</v>
      </c>
      <c r="TO17" s="99">
        <v>54.504548780487802</v>
      </c>
      <c r="TP17" s="99">
        <v>54.588174484052502</v>
      </c>
      <c r="TQ17" s="99">
        <v>54.671800187617301</v>
      </c>
      <c r="TR17" s="99">
        <v>54.755425891182</v>
      </c>
      <c r="TS17" s="99">
        <v>54.839051594746699</v>
      </c>
      <c r="TT17" s="99">
        <v>54.922677298311399</v>
      </c>
      <c r="TU17" s="99">
        <v>55.006303001876198</v>
      </c>
      <c r="TV17" s="99">
        <v>55.089928705440897</v>
      </c>
      <c r="TW17" s="99">
        <v>55.173554409005597</v>
      </c>
      <c r="TX17" s="99">
        <v>55.257180112570403</v>
      </c>
      <c r="TY17" s="99">
        <v>55.340805816135102</v>
      </c>
      <c r="TZ17" s="99">
        <v>55.424431519699802</v>
      </c>
      <c r="UA17" s="99">
        <v>55.508057223264501</v>
      </c>
      <c r="UB17" s="99">
        <v>55.5916829268293</v>
      </c>
      <c r="UC17" s="99">
        <v>55.675308630393999</v>
      </c>
      <c r="UD17" s="99">
        <v>55.758934333958699</v>
      </c>
      <c r="UE17" s="99">
        <v>55.842560037523498</v>
      </c>
      <c r="UF17" s="99">
        <v>55.926185741088197</v>
      </c>
      <c r="UG17" s="99">
        <v>56.009811444652897</v>
      </c>
      <c r="UH17" s="99">
        <v>56.093437148217603</v>
      </c>
      <c r="UI17" s="99">
        <v>56.177062851782402</v>
      </c>
      <c r="UJ17" s="99">
        <v>56.260688555347102</v>
      </c>
      <c r="UK17" s="99">
        <v>56.344314258911801</v>
      </c>
      <c r="UL17" s="99">
        <v>56.4279399624766</v>
      </c>
      <c r="UM17" s="99">
        <v>56.511565666041299</v>
      </c>
      <c r="UN17" s="99">
        <v>56.595191369605999</v>
      </c>
      <c r="UO17" s="99">
        <v>56.678817073170698</v>
      </c>
      <c r="UP17" s="99">
        <v>56.762442776735497</v>
      </c>
      <c r="UQ17" s="99">
        <v>56.846068480300197</v>
      </c>
      <c r="UR17" s="99">
        <v>56.929694183864903</v>
      </c>
      <c r="US17" s="99">
        <v>57.013319887429702</v>
      </c>
      <c r="UT17" s="99">
        <v>57.096945590994402</v>
      </c>
    </row>
    <row r="18" spans="1:566" x14ac:dyDescent="0.2">
      <c r="A18" s="89">
        <v>6</v>
      </c>
      <c r="B18" s="90">
        <v>9.8000000000000007</v>
      </c>
      <c r="C18" s="90">
        <v>9.89</v>
      </c>
      <c r="D18" s="90">
        <v>9.9700000000000006</v>
      </c>
      <c r="E18" s="90">
        <v>10.050000000000001</v>
      </c>
      <c r="F18" s="90">
        <v>10.14</v>
      </c>
      <c r="G18" s="90">
        <v>10.220000000000001</v>
      </c>
      <c r="H18" s="90">
        <v>10.3</v>
      </c>
      <c r="I18" s="90">
        <v>10.38</v>
      </c>
      <c r="J18" s="90">
        <v>10.47</v>
      </c>
      <c r="K18" s="90">
        <v>10.55</v>
      </c>
      <c r="L18" s="90">
        <v>10.63</v>
      </c>
      <c r="M18" s="90">
        <v>10.71</v>
      </c>
      <c r="N18" s="90">
        <v>10.8</v>
      </c>
      <c r="O18" s="90">
        <v>10.88</v>
      </c>
      <c r="P18" s="90">
        <v>10.96</v>
      </c>
      <c r="Q18" s="90">
        <v>11.04</v>
      </c>
      <c r="R18" s="90">
        <v>11.13</v>
      </c>
      <c r="S18" s="90">
        <v>11.21</v>
      </c>
      <c r="T18" s="90">
        <v>11.29</v>
      </c>
      <c r="U18" s="91">
        <v>11.37</v>
      </c>
      <c r="V18" s="90">
        <v>11.46</v>
      </c>
      <c r="W18" s="90">
        <v>11.54</v>
      </c>
      <c r="X18" s="90">
        <v>11.62</v>
      </c>
      <c r="Y18" s="90">
        <v>11.7</v>
      </c>
      <c r="Z18" s="90">
        <v>11.79</v>
      </c>
      <c r="AA18" s="90">
        <v>11.87</v>
      </c>
      <c r="AB18" s="90">
        <v>11.95</v>
      </c>
      <c r="AC18" s="90">
        <v>12.04</v>
      </c>
      <c r="AD18" s="90">
        <v>12.12</v>
      </c>
      <c r="AE18" s="90">
        <v>12.2</v>
      </c>
      <c r="AF18" s="90">
        <v>12.28</v>
      </c>
      <c r="AG18" s="90">
        <v>12.37</v>
      </c>
      <c r="AH18" s="90">
        <v>12.45</v>
      </c>
      <c r="AI18" s="90">
        <v>12.53</v>
      </c>
      <c r="AJ18" s="90">
        <v>12.61</v>
      </c>
      <c r="AK18" s="90">
        <v>12.7</v>
      </c>
      <c r="AL18" s="90">
        <v>12.78</v>
      </c>
      <c r="AM18" s="90">
        <v>12.86</v>
      </c>
      <c r="AN18" s="90">
        <v>12.94</v>
      </c>
      <c r="AO18" s="91">
        <v>13.03</v>
      </c>
      <c r="AP18" s="90">
        <v>13.1093461538462</v>
      </c>
      <c r="AQ18" s="90">
        <v>13.1919606003752</v>
      </c>
      <c r="AR18" s="90">
        <v>13.2745750469043</v>
      </c>
      <c r="AS18" s="90">
        <v>13.357189493433401</v>
      </c>
      <c r="AT18" s="90">
        <v>13.4398039399625</v>
      </c>
      <c r="AU18" s="90">
        <v>13.5224183864916</v>
      </c>
      <c r="AV18" s="90">
        <v>13.6050328330206</v>
      </c>
      <c r="AW18" s="90">
        <v>13.687647279549701</v>
      </c>
      <c r="AX18" s="90">
        <v>13.7702617260788</v>
      </c>
      <c r="AY18" s="90">
        <v>13.8528761726079</v>
      </c>
      <c r="AZ18" s="90">
        <v>13.935490619136999</v>
      </c>
      <c r="BA18" s="90">
        <v>14.018105065665999</v>
      </c>
      <c r="BB18" s="90">
        <v>14.1007195121951</v>
      </c>
      <c r="BC18" s="90">
        <v>14.1833339587242</v>
      </c>
      <c r="BD18" s="90">
        <v>14.265948405253299</v>
      </c>
      <c r="BE18" s="90">
        <v>14.3485628517824</v>
      </c>
      <c r="BF18" s="90">
        <v>14.4311772983114</v>
      </c>
      <c r="BG18" s="90">
        <v>14.5137917448405</v>
      </c>
      <c r="BH18" s="90">
        <v>14.596406191369599</v>
      </c>
      <c r="BI18" s="91">
        <v>14.6790206378987</v>
      </c>
      <c r="BJ18" s="90">
        <v>14.7616350844278</v>
      </c>
      <c r="BK18" s="99">
        <v>14.8442495309568</v>
      </c>
      <c r="BL18" s="99">
        <v>14.926863977485899</v>
      </c>
      <c r="BM18" s="99">
        <v>15.009478424015001</v>
      </c>
      <c r="BN18" s="99">
        <v>15.0920928705441</v>
      </c>
      <c r="BO18" s="99">
        <v>15.174707317073199</v>
      </c>
      <c r="BP18" s="99">
        <v>15.257321763602199</v>
      </c>
      <c r="BQ18" s="99">
        <v>15.339936210131301</v>
      </c>
      <c r="BR18" s="99">
        <v>15.4225506566604</v>
      </c>
      <c r="BS18" s="99">
        <v>15.505165103189499</v>
      </c>
      <c r="BT18" s="99">
        <v>15.587779549718601</v>
      </c>
      <c r="BU18" s="99">
        <v>15.6703939962477</v>
      </c>
      <c r="BV18" s="99">
        <v>15.7530084427767</v>
      </c>
      <c r="BW18" s="99">
        <v>15.8356228893058</v>
      </c>
      <c r="BX18" s="99">
        <v>15.918237335834901</v>
      </c>
      <c r="BY18" s="99">
        <v>16.000851782363998</v>
      </c>
      <c r="BZ18" s="99">
        <v>16.083466228893101</v>
      </c>
      <c r="CA18" s="99">
        <v>16.166080675422101</v>
      </c>
      <c r="CB18" s="99">
        <v>16.248695121951201</v>
      </c>
      <c r="CC18" s="99">
        <v>16.3313095684803</v>
      </c>
      <c r="CD18" s="99">
        <v>16.4139240150094</v>
      </c>
      <c r="CE18" s="99">
        <v>16.496538461538499</v>
      </c>
      <c r="CF18" s="99">
        <v>16.579152908067499</v>
      </c>
      <c r="CG18" s="99">
        <v>16.661767354596599</v>
      </c>
      <c r="CH18" s="99">
        <v>16.744381801125702</v>
      </c>
      <c r="CI18" s="99">
        <v>16.826996247654801</v>
      </c>
      <c r="CJ18" s="99">
        <v>16.9096106941839</v>
      </c>
      <c r="CK18" s="99">
        <v>16.9922251407129</v>
      </c>
      <c r="CL18" s="99">
        <v>17.074839587242</v>
      </c>
      <c r="CM18" s="99">
        <v>17.157454033771099</v>
      </c>
      <c r="CN18" s="99">
        <v>17.240068480300199</v>
      </c>
      <c r="CO18" s="99">
        <v>17.322682926829302</v>
      </c>
      <c r="CP18" s="99">
        <v>17.405297373358302</v>
      </c>
      <c r="CQ18" s="99">
        <v>17.487911819887401</v>
      </c>
      <c r="CR18" s="99">
        <v>17.570526266416501</v>
      </c>
      <c r="CS18" s="99">
        <v>17.6531407129456</v>
      </c>
      <c r="CT18" s="99">
        <v>17.735755159474699</v>
      </c>
      <c r="CU18" s="99">
        <v>17.818369606003699</v>
      </c>
      <c r="CV18" s="99">
        <v>17.900984052532799</v>
      </c>
      <c r="CW18" s="99">
        <v>17.983598499061898</v>
      </c>
      <c r="CX18" s="99">
        <v>18.066212945591001</v>
      </c>
      <c r="CY18" s="99">
        <v>18.148827392120101</v>
      </c>
      <c r="CZ18" s="99">
        <v>18.2314418386492</v>
      </c>
      <c r="DA18" s="99">
        <v>18.3140562851782</v>
      </c>
      <c r="DB18" s="99">
        <v>18.396670731707299</v>
      </c>
      <c r="DC18" s="99">
        <v>18.479285178236399</v>
      </c>
      <c r="DD18" s="99">
        <v>18.561899624765498</v>
      </c>
      <c r="DE18" s="99">
        <v>18.644514071294601</v>
      </c>
      <c r="DF18" s="99">
        <v>18.727128517823601</v>
      </c>
      <c r="DG18" s="99">
        <v>18.809742964352701</v>
      </c>
      <c r="DH18" s="99">
        <v>18.8923574108818</v>
      </c>
      <c r="DI18" s="99">
        <v>18.9749718574109</v>
      </c>
      <c r="DJ18" s="99">
        <v>19.057586303939999</v>
      </c>
      <c r="DK18" s="99">
        <v>19.140200750468999</v>
      </c>
      <c r="DL18" s="99">
        <v>19.222815196998098</v>
      </c>
      <c r="DM18" s="99">
        <v>19.305429643527201</v>
      </c>
      <c r="DN18" s="99">
        <v>19.388044090056301</v>
      </c>
      <c r="DO18" s="99">
        <v>19.4706585365854</v>
      </c>
      <c r="DP18" s="99">
        <v>19.5532729831144</v>
      </c>
      <c r="DQ18" s="99">
        <v>19.6358874296435</v>
      </c>
      <c r="DR18" s="99">
        <v>19.718501876172599</v>
      </c>
      <c r="DS18" s="99">
        <v>19.801116322701699</v>
      </c>
      <c r="DT18" s="99">
        <v>19.883730769230699</v>
      </c>
      <c r="DU18" s="99">
        <v>19.966345215759802</v>
      </c>
      <c r="DV18" s="99">
        <v>20.048959662288901</v>
      </c>
      <c r="DW18" s="99">
        <v>20.131574108818</v>
      </c>
      <c r="DX18" s="99">
        <v>20.2141885553471</v>
      </c>
      <c r="DY18" s="99">
        <v>20.2968030018761</v>
      </c>
      <c r="DZ18" s="99">
        <v>20.379417448405199</v>
      </c>
      <c r="EA18" s="99">
        <v>20.462031894934299</v>
      </c>
      <c r="EB18" s="99">
        <v>20.544646341463402</v>
      </c>
      <c r="EC18" s="99">
        <v>20.627260787992501</v>
      </c>
      <c r="ED18" s="99">
        <v>20.709875234521501</v>
      </c>
      <c r="EE18" s="99">
        <v>20.792489681050601</v>
      </c>
      <c r="EF18" s="99">
        <v>20.8751041275797</v>
      </c>
      <c r="EG18" s="99">
        <v>20.957718574108799</v>
      </c>
      <c r="EH18" s="99">
        <v>21.040333020637899</v>
      </c>
      <c r="EI18" s="99">
        <v>21.122947467166998</v>
      </c>
      <c r="EJ18" s="99">
        <v>21.205561913695998</v>
      </c>
      <c r="EK18" s="99">
        <v>21.288176360225101</v>
      </c>
      <c r="EL18" s="99">
        <v>21.370790806754201</v>
      </c>
      <c r="EM18" s="99">
        <v>21.4534052532833</v>
      </c>
      <c r="EN18" s="99">
        <v>21.5360196998124</v>
      </c>
      <c r="EO18" s="99">
        <v>21.6186341463414</v>
      </c>
      <c r="EP18" s="99">
        <v>21.701248592870499</v>
      </c>
      <c r="EQ18" s="99">
        <v>21.783863039399598</v>
      </c>
      <c r="ER18" s="99">
        <v>21.866477485928701</v>
      </c>
      <c r="ES18" s="99">
        <v>21.949091932457801</v>
      </c>
      <c r="ET18" s="99">
        <v>22.031706378986801</v>
      </c>
      <c r="EU18" s="99">
        <v>22.1143208255159</v>
      </c>
      <c r="EV18" s="99">
        <v>22.196935272045</v>
      </c>
      <c r="EW18" s="99">
        <v>22.279549718574099</v>
      </c>
      <c r="EX18" s="99">
        <v>22.362164165103199</v>
      </c>
      <c r="EY18" s="99">
        <v>22.444778611632199</v>
      </c>
      <c r="EZ18" s="99">
        <v>22.527393058161302</v>
      </c>
      <c r="FA18" s="99">
        <v>22.610007504690401</v>
      </c>
      <c r="FB18" s="99">
        <v>22.6926219512195</v>
      </c>
      <c r="FC18" s="99">
        <v>22.7752363977486</v>
      </c>
      <c r="FD18" s="99">
        <v>22.8578508442776</v>
      </c>
      <c r="FE18" s="99">
        <v>22.940465290806699</v>
      </c>
      <c r="FF18" s="99">
        <v>23.023079737335799</v>
      </c>
      <c r="FG18" s="99">
        <v>23.105694183864902</v>
      </c>
      <c r="FH18" s="99">
        <v>23.188308630394001</v>
      </c>
      <c r="FI18" s="99">
        <v>23.270923076923001</v>
      </c>
      <c r="FJ18" s="99">
        <v>23.353537523452101</v>
      </c>
      <c r="FK18" s="99">
        <v>23.4361519699812</v>
      </c>
      <c r="FL18" s="99">
        <v>23.518766416510299</v>
      </c>
      <c r="FM18" s="99">
        <v>23.601380863039399</v>
      </c>
      <c r="FN18" s="99">
        <v>23.683995309568498</v>
      </c>
      <c r="FO18" s="99">
        <v>23.766609756097498</v>
      </c>
      <c r="FP18" s="99">
        <v>23.849224202626601</v>
      </c>
      <c r="FQ18" s="99">
        <v>23.931838649155701</v>
      </c>
      <c r="FR18" s="99">
        <v>24.0144530956848</v>
      </c>
      <c r="FS18" s="99">
        <v>24.0970675422139</v>
      </c>
      <c r="FT18" s="99">
        <v>24.1796819887429</v>
      </c>
      <c r="FU18" s="99">
        <v>24.262296435271999</v>
      </c>
      <c r="FV18" s="99">
        <v>24.344910881801098</v>
      </c>
      <c r="FW18" s="99">
        <v>24.427525328330201</v>
      </c>
      <c r="FX18" s="99">
        <v>24.510139774859301</v>
      </c>
      <c r="FY18" s="99">
        <v>24.592754221388301</v>
      </c>
      <c r="FZ18" s="99">
        <v>24.6753686679174</v>
      </c>
      <c r="GA18" s="99">
        <v>24.7579831144465</v>
      </c>
      <c r="GB18" s="99">
        <v>24.840597560975599</v>
      </c>
      <c r="GC18" s="99">
        <v>24.923212007504699</v>
      </c>
      <c r="GD18" s="99">
        <v>25.005826454033699</v>
      </c>
      <c r="GE18" s="99">
        <v>25.088440900562802</v>
      </c>
      <c r="GF18" s="99">
        <v>25.171055347091901</v>
      </c>
      <c r="GG18" s="99">
        <v>25.253669793621</v>
      </c>
      <c r="GH18" s="99">
        <v>25.3362842401501</v>
      </c>
      <c r="GI18" s="99">
        <v>25.4188986866791</v>
      </c>
      <c r="GJ18" s="99">
        <v>25.501513133208199</v>
      </c>
      <c r="GK18" s="99">
        <v>25.584127579737299</v>
      </c>
      <c r="GL18" s="99">
        <v>25.666742026266402</v>
      </c>
      <c r="GM18" s="99">
        <v>25.749356472795501</v>
      </c>
      <c r="GN18" s="99">
        <v>25.831970919324501</v>
      </c>
      <c r="GO18" s="99">
        <v>25.914585365853601</v>
      </c>
      <c r="GP18" s="99">
        <v>25.9971998123827</v>
      </c>
      <c r="GQ18" s="99">
        <v>26.079814258911799</v>
      </c>
      <c r="GR18" s="99">
        <v>26.162428705440899</v>
      </c>
      <c r="GS18" s="99">
        <v>26.245043151969998</v>
      </c>
      <c r="GT18" s="99">
        <v>26.327657598498998</v>
      </c>
      <c r="GU18" s="99">
        <v>26.410272045028101</v>
      </c>
      <c r="GV18" s="99">
        <v>26.492886491557201</v>
      </c>
      <c r="GW18" s="99">
        <v>26.5755009380863</v>
      </c>
      <c r="GX18" s="99">
        <v>26.6581153846154</v>
      </c>
      <c r="GY18" s="99">
        <v>26.740729831144399</v>
      </c>
      <c r="GZ18" s="99">
        <v>26.823344277673499</v>
      </c>
      <c r="HA18" s="99">
        <v>26.905958724202598</v>
      </c>
      <c r="HB18" s="99">
        <v>26.988573170731701</v>
      </c>
      <c r="HC18" s="99">
        <v>27.071187617260801</v>
      </c>
      <c r="HD18" s="99">
        <v>27.153802063789801</v>
      </c>
      <c r="HE18" s="99">
        <v>27.2364165103189</v>
      </c>
      <c r="HF18" s="99">
        <v>27.319030956848</v>
      </c>
      <c r="HG18" s="99">
        <v>27.401645403377099</v>
      </c>
      <c r="HH18" s="99">
        <v>27.484259849906199</v>
      </c>
      <c r="HI18" s="99">
        <v>27.566874296435198</v>
      </c>
      <c r="HJ18" s="99">
        <v>27.649488742964301</v>
      </c>
      <c r="HK18" s="99">
        <v>27.732103189493401</v>
      </c>
      <c r="HL18" s="99">
        <v>27.8147176360225</v>
      </c>
      <c r="HM18" s="99">
        <v>27.8973320825516</v>
      </c>
      <c r="HN18" s="99">
        <v>27.9799465290806</v>
      </c>
      <c r="HO18" s="99">
        <v>28.062560975609699</v>
      </c>
      <c r="HP18" s="99">
        <v>28.145175422138799</v>
      </c>
      <c r="HQ18" s="99">
        <v>28.227789868667902</v>
      </c>
      <c r="HR18" s="99">
        <v>28.310404315197001</v>
      </c>
      <c r="HS18" s="99">
        <v>28.393018761726101</v>
      </c>
      <c r="HT18" s="99">
        <v>28.4756332082551</v>
      </c>
      <c r="HU18" s="99">
        <v>28.5582476547842</v>
      </c>
      <c r="HV18" s="99">
        <v>28.640862101313299</v>
      </c>
      <c r="HW18" s="99">
        <v>28.723476547842399</v>
      </c>
      <c r="HX18" s="99">
        <v>28.806090994371498</v>
      </c>
      <c r="HY18" s="99">
        <v>28.888705440900502</v>
      </c>
      <c r="HZ18" s="99">
        <v>28.971319887429601</v>
      </c>
      <c r="IA18" s="99">
        <v>29.053934333958701</v>
      </c>
      <c r="IB18" s="99">
        <v>29.1365487804878</v>
      </c>
      <c r="IC18" s="99">
        <v>29.219163227016899</v>
      </c>
      <c r="ID18" s="99">
        <v>29.301777673545899</v>
      </c>
      <c r="IE18" s="99">
        <v>29.384392120074999</v>
      </c>
      <c r="IF18" s="99">
        <v>29.467006566604098</v>
      </c>
      <c r="IG18" s="99">
        <v>29.549621013133201</v>
      </c>
      <c r="IH18" s="99">
        <v>29.632235459662301</v>
      </c>
      <c r="II18" s="99">
        <v>29.714849906191301</v>
      </c>
      <c r="IJ18" s="99">
        <v>29.7974643527204</v>
      </c>
      <c r="IK18" s="99">
        <v>29.8800787992495</v>
      </c>
      <c r="IL18" s="99">
        <v>29.962693245778599</v>
      </c>
      <c r="IM18" s="99">
        <v>30.045307692307698</v>
      </c>
      <c r="IN18" s="99">
        <v>30.127922138836698</v>
      </c>
      <c r="IO18" s="99">
        <v>30.210536585365801</v>
      </c>
      <c r="IP18" s="99">
        <v>30.293151031894901</v>
      </c>
      <c r="IQ18" s="99">
        <v>30.375765478424</v>
      </c>
      <c r="IR18" s="99">
        <v>30.4583799249531</v>
      </c>
      <c r="IS18" s="99">
        <v>30.5409943714821</v>
      </c>
      <c r="IT18" s="99">
        <v>30.623608818011199</v>
      </c>
      <c r="IU18" s="99">
        <v>30.706223264540299</v>
      </c>
      <c r="IV18" s="99">
        <v>30.788837711069402</v>
      </c>
      <c r="IW18" s="99">
        <v>30.871452157598501</v>
      </c>
      <c r="IX18" s="99">
        <v>30.9540666041276</v>
      </c>
      <c r="IY18" s="99">
        <v>31.0366810506566</v>
      </c>
      <c r="IZ18" s="99">
        <v>31.1192954971857</v>
      </c>
      <c r="JA18" s="99">
        <v>31.201909943714799</v>
      </c>
      <c r="JB18" s="99">
        <v>31.284524390243899</v>
      </c>
      <c r="JC18" s="99">
        <v>31.367138836773002</v>
      </c>
      <c r="JD18" s="99">
        <v>31.449753283302002</v>
      </c>
      <c r="JE18" s="99">
        <v>31.532367729831101</v>
      </c>
      <c r="JF18" s="99">
        <v>31.614982176360201</v>
      </c>
      <c r="JG18" s="99">
        <v>31.6975966228893</v>
      </c>
      <c r="JH18" s="99">
        <v>31.780211069418399</v>
      </c>
      <c r="JI18" s="99">
        <v>31.862825515947399</v>
      </c>
      <c r="JJ18" s="99">
        <v>31.945439962476499</v>
      </c>
      <c r="JK18" s="99">
        <v>32.028054409005598</v>
      </c>
      <c r="JL18" s="99">
        <v>32.110668855534698</v>
      </c>
      <c r="JM18" s="99">
        <v>32.193283302063797</v>
      </c>
      <c r="JN18" s="99">
        <v>32.275897748592797</v>
      </c>
      <c r="JO18" s="99">
        <v>32.358512195121897</v>
      </c>
      <c r="JP18" s="99">
        <v>32.441126641651003</v>
      </c>
      <c r="JQ18" s="99">
        <v>32.523741088180103</v>
      </c>
      <c r="JR18" s="99">
        <v>32.606355534709202</v>
      </c>
      <c r="JS18" s="99">
        <v>32.688969981238202</v>
      </c>
      <c r="JT18" s="99">
        <v>32.771584427767301</v>
      </c>
      <c r="JU18" s="99">
        <v>32.854198874296401</v>
      </c>
      <c r="JV18" s="99">
        <v>32.9368133208255</v>
      </c>
      <c r="JW18" s="99">
        <v>33.0194277673546</v>
      </c>
      <c r="JX18" s="99">
        <v>33.102042213883699</v>
      </c>
      <c r="JY18" s="99">
        <v>33.184656660412699</v>
      </c>
      <c r="JZ18" s="99">
        <v>33.267271106941799</v>
      </c>
      <c r="KA18" s="99">
        <v>33.349885553470898</v>
      </c>
      <c r="KB18" s="99">
        <v>33.432499999999997</v>
      </c>
      <c r="KC18" s="99">
        <v>33.515114446529097</v>
      </c>
      <c r="KD18" s="99">
        <v>33.597728893058097</v>
      </c>
      <c r="KE18" s="99">
        <v>33.680343339587203</v>
      </c>
      <c r="KF18" s="99">
        <v>33.762957786116303</v>
      </c>
      <c r="KG18" s="99">
        <v>33.845572232645402</v>
      </c>
      <c r="KH18" s="99">
        <v>33.928186679174502</v>
      </c>
      <c r="KI18" s="99">
        <v>34.010801125703502</v>
      </c>
      <c r="KJ18" s="99">
        <v>34.093415572232601</v>
      </c>
      <c r="KK18" s="99">
        <v>34.176030018761701</v>
      </c>
      <c r="KL18" s="99">
        <v>34.2586444652908</v>
      </c>
      <c r="KM18" s="99">
        <v>34.341258911819899</v>
      </c>
      <c r="KN18" s="99">
        <v>34.423873358348899</v>
      </c>
      <c r="KO18" s="99">
        <v>34.506487804877999</v>
      </c>
      <c r="KP18" s="99">
        <v>34.589102251407098</v>
      </c>
      <c r="KQ18" s="99">
        <v>34.671716697936198</v>
      </c>
      <c r="KR18" s="99">
        <v>34.754331144465297</v>
      </c>
      <c r="KS18" s="99">
        <v>34.836945590994297</v>
      </c>
      <c r="KT18" s="99">
        <v>34.919560037523397</v>
      </c>
      <c r="KU18" s="99">
        <v>35.002174484052503</v>
      </c>
      <c r="KV18" s="99">
        <v>35.084788930581603</v>
      </c>
      <c r="KW18" s="99">
        <v>35.167403377110702</v>
      </c>
      <c r="KX18" s="99">
        <v>35.250017823639702</v>
      </c>
      <c r="KY18" s="99">
        <v>35.332632270168801</v>
      </c>
      <c r="KZ18" s="99">
        <v>35.415246716697901</v>
      </c>
      <c r="LA18" s="99">
        <v>35.497861163227</v>
      </c>
      <c r="LB18" s="99">
        <v>35.5804756097561</v>
      </c>
      <c r="LC18" s="99">
        <v>35.663090056285199</v>
      </c>
      <c r="LD18" s="99">
        <v>35.745704502814199</v>
      </c>
      <c r="LE18" s="99">
        <v>35.828318949343299</v>
      </c>
      <c r="LF18" s="99">
        <v>35.910933395872398</v>
      </c>
      <c r="LG18" s="99">
        <v>35.993547842401497</v>
      </c>
      <c r="LH18" s="99">
        <v>36.076162288930597</v>
      </c>
      <c r="LI18" s="99">
        <v>36.158776735459597</v>
      </c>
      <c r="LJ18" s="99">
        <v>36.241391181988703</v>
      </c>
      <c r="LK18" s="99">
        <v>36.324005628517803</v>
      </c>
      <c r="LL18" s="99">
        <v>36.406620075046902</v>
      </c>
      <c r="LM18" s="99">
        <v>36.489234521576002</v>
      </c>
      <c r="LN18" s="99">
        <v>36.571848968105002</v>
      </c>
      <c r="LO18" s="99">
        <v>36.654463414634101</v>
      </c>
      <c r="LP18" s="99">
        <v>36.737077861163201</v>
      </c>
      <c r="LQ18" s="99">
        <v>36.8196923076923</v>
      </c>
      <c r="LR18" s="99">
        <v>36.902306754221399</v>
      </c>
      <c r="LS18" s="99">
        <v>36.984921200750399</v>
      </c>
      <c r="LT18" s="99">
        <v>37.067535647279499</v>
      </c>
      <c r="LU18" s="99">
        <v>37.150150093808598</v>
      </c>
      <c r="LV18" s="99">
        <v>37.232764540337698</v>
      </c>
      <c r="LW18" s="99">
        <v>37.315378986866797</v>
      </c>
      <c r="LX18" s="99">
        <v>37.397993433395797</v>
      </c>
      <c r="LY18" s="99">
        <v>37.480607879924897</v>
      </c>
      <c r="LZ18" s="99">
        <v>37.563222326454003</v>
      </c>
      <c r="MA18" s="99">
        <v>37.645836772983102</v>
      </c>
      <c r="MB18" s="99">
        <v>37.728451219512202</v>
      </c>
      <c r="MC18" s="99">
        <v>37.811065666041301</v>
      </c>
      <c r="MD18" s="99">
        <v>37.893680112570301</v>
      </c>
      <c r="ME18" s="99">
        <v>37.976294559099401</v>
      </c>
      <c r="MF18" s="99">
        <v>38.0589090056285</v>
      </c>
      <c r="MG18" s="99">
        <v>38.1415234521576</v>
      </c>
      <c r="MH18" s="99">
        <v>38.224137898686699</v>
      </c>
      <c r="MI18" s="99">
        <v>38.306752345215699</v>
      </c>
      <c r="MJ18" s="99">
        <v>38.389366791744798</v>
      </c>
      <c r="MK18" s="99">
        <v>38.471981238273898</v>
      </c>
      <c r="ML18" s="99">
        <v>38.554595684802997</v>
      </c>
      <c r="MM18" s="99">
        <v>38.637210131332097</v>
      </c>
      <c r="MN18" s="99">
        <v>38.719824577861097</v>
      </c>
      <c r="MO18" s="99">
        <v>38.802439024390203</v>
      </c>
      <c r="MP18" s="99">
        <v>38.885053470919303</v>
      </c>
      <c r="MQ18" s="99">
        <v>38.967667917448402</v>
      </c>
      <c r="MR18" s="99">
        <v>39.050282363977502</v>
      </c>
      <c r="MS18" s="99">
        <v>39.132896810506502</v>
      </c>
      <c r="MT18" s="99">
        <v>39.215511257035601</v>
      </c>
      <c r="MU18" s="99">
        <v>39.2981257035647</v>
      </c>
      <c r="MV18" s="99">
        <v>39.3807401500938</v>
      </c>
      <c r="MW18" s="99">
        <v>39.463354596622899</v>
      </c>
      <c r="MX18" s="99">
        <v>39.545969043151899</v>
      </c>
      <c r="MY18" s="99">
        <v>39.628583489680999</v>
      </c>
      <c r="MZ18" s="99">
        <v>39.711197936210098</v>
      </c>
      <c r="NA18" s="99">
        <v>39.793812382739198</v>
      </c>
      <c r="NB18" s="99">
        <v>39.876426829268297</v>
      </c>
      <c r="NC18" s="99">
        <v>39.959041275797297</v>
      </c>
      <c r="ND18" s="99">
        <v>40.041655722326396</v>
      </c>
      <c r="NE18" s="99">
        <v>40.124270168855503</v>
      </c>
      <c r="NF18" s="99">
        <v>40.206884615384602</v>
      </c>
      <c r="NG18" s="99">
        <v>40.289499061913702</v>
      </c>
      <c r="NH18" s="99">
        <v>40.372113508442801</v>
      </c>
      <c r="NI18" s="99">
        <v>40.454727954971801</v>
      </c>
      <c r="NJ18" s="99">
        <v>40.537342401500901</v>
      </c>
      <c r="NK18" s="99">
        <v>40.61995684803</v>
      </c>
      <c r="NL18" s="99">
        <v>40.7025712945591</v>
      </c>
      <c r="NM18" s="99">
        <v>40.785185741088199</v>
      </c>
      <c r="NN18" s="99">
        <v>40.867800187617199</v>
      </c>
      <c r="NO18" s="99">
        <v>40.950414634146298</v>
      </c>
      <c r="NP18" s="99">
        <v>41.033029080675398</v>
      </c>
      <c r="NQ18" s="99">
        <v>41.115643527204497</v>
      </c>
      <c r="NR18" s="99">
        <v>41.198257973733597</v>
      </c>
      <c r="NS18" s="99">
        <v>41.280872420262597</v>
      </c>
      <c r="NT18" s="99">
        <v>41.363486866791703</v>
      </c>
      <c r="NU18" s="99">
        <v>41.446101313320803</v>
      </c>
      <c r="NV18" s="99">
        <v>41.528715759849902</v>
      </c>
      <c r="NW18" s="99">
        <v>41.611330206379002</v>
      </c>
      <c r="NX18" s="99">
        <v>41.693944652908002</v>
      </c>
      <c r="NY18" s="99">
        <v>41.776559099437101</v>
      </c>
      <c r="NZ18" s="99">
        <v>41.8591735459662</v>
      </c>
      <c r="OA18" s="99">
        <v>41.9417879924953</v>
      </c>
      <c r="OB18" s="99">
        <v>42.024402439024399</v>
      </c>
      <c r="OC18" s="99">
        <v>42.107016885553399</v>
      </c>
      <c r="OD18" s="99">
        <v>42.189631332082499</v>
      </c>
      <c r="OE18" s="99">
        <v>42.272245778611598</v>
      </c>
      <c r="OF18" s="99">
        <v>42.354860225140698</v>
      </c>
      <c r="OG18" s="99">
        <v>42.437474671669797</v>
      </c>
      <c r="OH18" s="99">
        <v>42.520089118198797</v>
      </c>
      <c r="OI18" s="99">
        <v>42.602703564727904</v>
      </c>
      <c r="OJ18" s="99">
        <v>42.685318011257003</v>
      </c>
      <c r="OK18" s="99">
        <v>42.767932457786102</v>
      </c>
      <c r="OL18" s="99">
        <v>42.850546904315202</v>
      </c>
      <c r="OM18" s="99">
        <v>42.933161350844301</v>
      </c>
      <c r="ON18" s="99">
        <v>43.015775797373301</v>
      </c>
      <c r="OO18" s="99">
        <v>43.098390243902401</v>
      </c>
      <c r="OP18" s="99">
        <v>43.1810046904315</v>
      </c>
      <c r="OQ18" s="99">
        <v>43.2636191369606</v>
      </c>
      <c r="OR18" s="99">
        <v>43.346233583489699</v>
      </c>
      <c r="OS18" s="99">
        <v>43.428848030018699</v>
      </c>
      <c r="OT18" s="99">
        <v>43.511462476547798</v>
      </c>
      <c r="OU18" s="99">
        <v>43.594076923076898</v>
      </c>
      <c r="OV18" s="99">
        <v>43.676691369605997</v>
      </c>
      <c r="OW18" s="99">
        <v>43.759305816135097</v>
      </c>
      <c r="OX18" s="99">
        <v>43.841920262664097</v>
      </c>
      <c r="OY18" s="99">
        <v>43.924534709193203</v>
      </c>
      <c r="OZ18" s="99">
        <v>44.007149155722303</v>
      </c>
      <c r="PA18" s="99">
        <v>44.089763602251402</v>
      </c>
      <c r="PB18" s="99">
        <v>44.172378048780502</v>
      </c>
      <c r="PC18" s="99">
        <v>44.254992495309502</v>
      </c>
      <c r="PD18" s="99">
        <v>44.337606941838601</v>
      </c>
      <c r="PE18" s="99">
        <v>44.4202213883677</v>
      </c>
      <c r="PF18" s="99">
        <v>44.5028358348968</v>
      </c>
      <c r="PG18" s="99">
        <v>44.585450281425899</v>
      </c>
      <c r="PH18" s="99">
        <v>44.668064727954899</v>
      </c>
      <c r="PI18" s="99">
        <v>44.750679174483999</v>
      </c>
      <c r="PJ18" s="99">
        <v>44.833293621013098</v>
      </c>
      <c r="PK18" s="99">
        <v>44.915908067542198</v>
      </c>
      <c r="PL18" s="99">
        <v>44.998522514071297</v>
      </c>
      <c r="PM18" s="99">
        <v>45.081136960600297</v>
      </c>
      <c r="PN18" s="99">
        <v>45.163751407129404</v>
      </c>
      <c r="PO18" s="99">
        <v>45.246365853658503</v>
      </c>
      <c r="PP18" s="99">
        <v>45.328980300187602</v>
      </c>
      <c r="PQ18" s="99">
        <v>45.411594746716702</v>
      </c>
      <c r="PR18" s="99">
        <v>45.494209193245801</v>
      </c>
      <c r="PS18" s="99">
        <v>45.576823639774801</v>
      </c>
      <c r="PT18" s="99">
        <v>45.659438086303901</v>
      </c>
      <c r="PU18" s="99">
        <v>45.742052532833</v>
      </c>
      <c r="PV18" s="99">
        <v>45.8246669793621</v>
      </c>
      <c r="PW18" s="99">
        <v>45.907281425891199</v>
      </c>
      <c r="PX18" s="99">
        <v>45.989895872420199</v>
      </c>
      <c r="PY18" s="99">
        <v>46.072510318949298</v>
      </c>
      <c r="PZ18" s="99">
        <v>46.155124765478398</v>
      </c>
      <c r="QA18" s="99">
        <v>46.237739212007497</v>
      </c>
      <c r="QB18" s="99">
        <v>46.320353658536597</v>
      </c>
      <c r="QC18" s="99">
        <v>46.402968105065597</v>
      </c>
      <c r="QD18" s="99">
        <v>46.485582551594703</v>
      </c>
      <c r="QE18" s="99">
        <v>46.568196998123803</v>
      </c>
      <c r="QF18" s="99">
        <v>46.650811444652902</v>
      </c>
      <c r="QG18" s="99">
        <v>46.733425891182002</v>
      </c>
      <c r="QH18" s="99">
        <v>46.816040337711001</v>
      </c>
      <c r="QI18" s="99">
        <v>46.898654784240101</v>
      </c>
      <c r="QJ18" s="99">
        <v>46.9812692307692</v>
      </c>
      <c r="QK18" s="99">
        <v>47.0638836772983</v>
      </c>
      <c r="QL18" s="99">
        <v>47.146498123827399</v>
      </c>
      <c r="QM18" s="99">
        <v>47.229112570356399</v>
      </c>
      <c r="QN18" s="99">
        <v>47.311727016885499</v>
      </c>
      <c r="QO18" s="99">
        <v>47.394341463414598</v>
      </c>
      <c r="QP18" s="99">
        <v>47.476955909943698</v>
      </c>
      <c r="QQ18" s="99">
        <v>47.559570356472797</v>
      </c>
      <c r="QR18" s="99">
        <v>47.642184803001904</v>
      </c>
      <c r="QS18" s="99">
        <v>47.724799249530903</v>
      </c>
      <c r="QT18" s="99">
        <v>47.807413696060003</v>
      </c>
      <c r="QU18" s="99">
        <v>47.890028142589102</v>
      </c>
      <c r="QV18" s="99">
        <v>47.972642589118202</v>
      </c>
      <c r="QW18" s="99">
        <v>48.055257035647301</v>
      </c>
      <c r="QX18" s="99">
        <v>48.137871482176301</v>
      </c>
      <c r="QY18" s="99">
        <v>48.220485928705401</v>
      </c>
      <c r="QZ18" s="99">
        <v>48.3031003752345</v>
      </c>
      <c r="RA18" s="99">
        <v>48.3857148217636</v>
      </c>
      <c r="RB18" s="99">
        <v>48.468329268292699</v>
      </c>
      <c r="RC18" s="99">
        <v>48.550943714821699</v>
      </c>
      <c r="RD18" s="99">
        <v>48.633558161350798</v>
      </c>
      <c r="RE18" s="99">
        <v>48.716172607879898</v>
      </c>
      <c r="RF18" s="99">
        <v>48.798787054408997</v>
      </c>
      <c r="RG18" s="99">
        <v>48.881401500938097</v>
      </c>
      <c r="RH18" s="99">
        <v>48.964015947467097</v>
      </c>
      <c r="RI18" s="99">
        <v>49.046630393996203</v>
      </c>
      <c r="RJ18" s="99">
        <v>49.129244840525303</v>
      </c>
      <c r="RK18" s="99">
        <v>49.211859287054402</v>
      </c>
      <c r="RL18" s="99">
        <v>49.294473733583501</v>
      </c>
      <c r="RM18" s="99">
        <v>49.377088180112501</v>
      </c>
      <c r="RN18" s="99">
        <v>49.459702626641601</v>
      </c>
      <c r="RO18" s="99">
        <v>49.5423170731707</v>
      </c>
      <c r="RP18" s="99">
        <v>49.6249315196998</v>
      </c>
      <c r="RQ18" s="99">
        <v>49.707545966228899</v>
      </c>
      <c r="RR18" s="99">
        <v>49.790160412757899</v>
      </c>
      <c r="RS18" s="99">
        <v>49.872774859286999</v>
      </c>
      <c r="RT18" s="99">
        <v>49.955389305816098</v>
      </c>
      <c r="RU18" s="99">
        <v>50.038003752345197</v>
      </c>
      <c r="RV18" s="99">
        <v>50.120618198874297</v>
      </c>
      <c r="RW18" s="99">
        <v>50.203232645403403</v>
      </c>
      <c r="RX18" s="99">
        <v>50.285847091932403</v>
      </c>
      <c r="RY18" s="99">
        <v>50.368461538461503</v>
      </c>
      <c r="RZ18" s="99">
        <v>50.451075984990602</v>
      </c>
      <c r="SA18" s="99">
        <v>50.533690431519702</v>
      </c>
      <c r="SB18" s="99">
        <v>50.616304878048801</v>
      </c>
      <c r="SC18" s="99">
        <v>50.698919324577801</v>
      </c>
      <c r="SD18" s="99">
        <v>50.781533771106901</v>
      </c>
      <c r="SE18" s="99">
        <v>50.864148217636</v>
      </c>
      <c r="SF18" s="99">
        <v>50.946762664165099</v>
      </c>
      <c r="SG18" s="99">
        <v>51.029377110694199</v>
      </c>
      <c r="SH18" s="99">
        <v>51.111991557223199</v>
      </c>
      <c r="SI18" s="99">
        <v>51.194606003752298</v>
      </c>
      <c r="SJ18" s="99">
        <v>51.277220450281398</v>
      </c>
      <c r="SK18" s="99">
        <v>51.359834896810497</v>
      </c>
      <c r="SL18" s="99">
        <v>51.442449343339597</v>
      </c>
      <c r="SM18" s="99">
        <v>51.525063789868597</v>
      </c>
      <c r="SN18" s="99">
        <v>51.607678236397703</v>
      </c>
      <c r="SO18" s="99">
        <v>51.690292682926803</v>
      </c>
      <c r="SP18" s="99">
        <v>51.772907129455902</v>
      </c>
      <c r="SQ18" s="99">
        <v>51.855521575985001</v>
      </c>
      <c r="SR18" s="99">
        <v>51.938136022514001</v>
      </c>
      <c r="SS18" s="99">
        <v>52.020750469043101</v>
      </c>
      <c r="ST18" s="99">
        <v>52.1033649155722</v>
      </c>
      <c r="SU18" s="99">
        <v>52.1859793621013</v>
      </c>
      <c r="SV18" s="99">
        <v>52.268593808630399</v>
      </c>
      <c r="SW18" s="99">
        <v>52.351208255159399</v>
      </c>
      <c r="SX18" s="99">
        <v>52.433822701688499</v>
      </c>
      <c r="SY18" s="99">
        <v>52.516437148217598</v>
      </c>
      <c r="SZ18" s="99">
        <v>52.599051594746697</v>
      </c>
      <c r="TA18" s="99">
        <v>52.681666041275797</v>
      </c>
      <c r="TB18" s="99">
        <v>52.764280487804903</v>
      </c>
      <c r="TC18" s="99">
        <v>52.846894934333903</v>
      </c>
      <c r="TD18" s="99">
        <v>52.929509380863003</v>
      </c>
      <c r="TE18" s="99">
        <v>53.012123827392102</v>
      </c>
      <c r="TF18" s="99">
        <v>53.094738273921202</v>
      </c>
      <c r="TG18" s="99">
        <v>53.177352720450301</v>
      </c>
      <c r="TH18" s="99">
        <v>53.259967166979301</v>
      </c>
      <c r="TI18" s="99">
        <v>53.342581613508401</v>
      </c>
      <c r="TJ18" s="99">
        <v>53.4251960600375</v>
      </c>
      <c r="TK18" s="99">
        <v>53.507810506566599</v>
      </c>
      <c r="TL18" s="99">
        <v>53.590424953095699</v>
      </c>
      <c r="TM18" s="99">
        <v>53.673039399624699</v>
      </c>
      <c r="TN18" s="99">
        <v>53.755653846153798</v>
      </c>
      <c r="TO18" s="99">
        <v>53.838268292682898</v>
      </c>
      <c r="TP18" s="99">
        <v>53.920882739211997</v>
      </c>
      <c r="TQ18" s="99">
        <v>54.003497185741097</v>
      </c>
      <c r="TR18" s="99">
        <v>54.086111632270097</v>
      </c>
      <c r="TS18" s="99">
        <v>54.168726078799203</v>
      </c>
      <c r="TT18" s="99">
        <v>54.251340525328303</v>
      </c>
      <c r="TU18" s="99">
        <v>54.333954971857402</v>
      </c>
      <c r="TV18" s="99">
        <v>54.416569418386501</v>
      </c>
      <c r="TW18" s="99">
        <v>54.499183864915501</v>
      </c>
      <c r="TX18" s="99">
        <v>54.581798311444601</v>
      </c>
      <c r="TY18" s="99">
        <v>54.6644127579737</v>
      </c>
      <c r="TZ18" s="99">
        <v>54.7470272045028</v>
      </c>
      <c r="UA18" s="99">
        <v>54.829641651031899</v>
      </c>
      <c r="UB18" s="99">
        <v>54.912256097560899</v>
      </c>
      <c r="UC18" s="99">
        <v>54.994870544089999</v>
      </c>
      <c r="UD18" s="99">
        <v>55.077484990619098</v>
      </c>
      <c r="UE18" s="99">
        <v>55.160099437148197</v>
      </c>
      <c r="UF18" s="99">
        <v>55.242713883677297</v>
      </c>
      <c r="UG18" s="99">
        <v>55.325328330206403</v>
      </c>
      <c r="UH18" s="99">
        <v>55.407942776735403</v>
      </c>
      <c r="UI18" s="99">
        <v>55.490557223264503</v>
      </c>
      <c r="UJ18" s="99">
        <v>55.573171669793602</v>
      </c>
      <c r="UK18" s="99">
        <v>55.655786116322702</v>
      </c>
      <c r="UL18" s="99">
        <v>55.738400562851801</v>
      </c>
      <c r="UM18" s="99">
        <v>55.821015009380801</v>
      </c>
      <c r="UN18" s="99">
        <v>55.903629455909901</v>
      </c>
      <c r="UO18" s="99">
        <v>55.986243902439</v>
      </c>
      <c r="UP18" s="99">
        <v>56.068858348968099</v>
      </c>
      <c r="UQ18" s="99">
        <v>56.151472795497199</v>
      </c>
      <c r="UR18" s="99">
        <v>56.234087242026199</v>
      </c>
      <c r="US18" s="99">
        <v>56.316701688555298</v>
      </c>
      <c r="UT18" s="99">
        <v>56.399316135084398</v>
      </c>
    </row>
    <row r="19" spans="1:566" x14ac:dyDescent="0.2">
      <c r="A19" s="89">
        <v>6.5</v>
      </c>
      <c r="B19" s="90">
        <v>9.68</v>
      </c>
      <c r="C19" s="90">
        <v>9.76</v>
      </c>
      <c r="D19" s="90">
        <v>9.84</v>
      </c>
      <c r="E19" s="90">
        <v>9.93</v>
      </c>
      <c r="F19" s="90">
        <v>10.01</v>
      </c>
      <c r="G19" s="90">
        <v>10.09</v>
      </c>
      <c r="H19" s="90">
        <v>10.17</v>
      </c>
      <c r="I19" s="90">
        <v>10.25</v>
      </c>
      <c r="J19" s="90">
        <v>10.33</v>
      </c>
      <c r="K19" s="90">
        <v>10.42</v>
      </c>
      <c r="L19" s="90">
        <v>10.5</v>
      </c>
      <c r="M19" s="90">
        <v>10.58</v>
      </c>
      <c r="N19" s="90">
        <v>10.66</v>
      </c>
      <c r="O19" s="90">
        <v>10.74</v>
      </c>
      <c r="P19" s="90">
        <v>10.82</v>
      </c>
      <c r="Q19" s="90">
        <v>10.91</v>
      </c>
      <c r="R19" s="90">
        <v>10.99</v>
      </c>
      <c r="S19" s="90">
        <v>11.07</v>
      </c>
      <c r="T19" s="90">
        <v>11.15</v>
      </c>
      <c r="U19" s="91">
        <v>11.23</v>
      </c>
      <c r="V19" s="90">
        <v>11.31</v>
      </c>
      <c r="W19" s="90">
        <v>11.39</v>
      </c>
      <c r="X19" s="90">
        <v>11.48</v>
      </c>
      <c r="Y19" s="90">
        <v>11.56</v>
      </c>
      <c r="Z19" s="90">
        <v>11.64</v>
      </c>
      <c r="AA19" s="90">
        <v>11.72</v>
      </c>
      <c r="AB19" s="90">
        <v>11.8</v>
      </c>
      <c r="AC19" s="90">
        <v>11.88</v>
      </c>
      <c r="AD19" s="90">
        <v>11.97</v>
      </c>
      <c r="AE19" s="90">
        <v>12.05</v>
      </c>
      <c r="AF19" s="90">
        <v>12.13</v>
      </c>
      <c r="AG19" s="90">
        <v>12.21</v>
      </c>
      <c r="AH19" s="90">
        <v>12.29</v>
      </c>
      <c r="AI19" s="90">
        <v>12.37</v>
      </c>
      <c r="AJ19" s="90">
        <v>12.46</v>
      </c>
      <c r="AK19" s="90">
        <v>12.54</v>
      </c>
      <c r="AL19" s="90">
        <v>12.62</v>
      </c>
      <c r="AM19" s="90">
        <v>12.7</v>
      </c>
      <c r="AN19" s="90">
        <v>12.78</v>
      </c>
      <c r="AO19" s="91">
        <v>12.86</v>
      </c>
      <c r="AP19" s="90">
        <v>12.9449615384615</v>
      </c>
      <c r="AQ19" s="90">
        <v>13.026557223264501</v>
      </c>
      <c r="AR19" s="90">
        <v>13.108152908067501</v>
      </c>
      <c r="AS19" s="90">
        <v>13.189748592870499</v>
      </c>
      <c r="AT19" s="90">
        <v>13.271344277673499</v>
      </c>
      <c r="AU19" s="90">
        <v>13.352939962476601</v>
      </c>
      <c r="AV19" s="90">
        <v>13.434535647279599</v>
      </c>
      <c r="AW19" s="90">
        <v>13.516131332082599</v>
      </c>
      <c r="AX19" s="90">
        <v>13.597727016885599</v>
      </c>
      <c r="AY19" s="90">
        <v>13.6793227016886</v>
      </c>
      <c r="AZ19" s="90">
        <v>13.7609183864916</v>
      </c>
      <c r="BA19" s="90">
        <v>13.8425140712946</v>
      </c>
      <c r="BB19" s="90">
        <v>13.9241097560976</v>
      </c>
      <c r="BC19" s="90">
        <v>14.0057054409006</v>
      </c>
      <c r="BD19" s="90">
        <v>14.0873011257036</v>
      </c>
      <c r="BE19" s="90">
        <v>14.168896810506601</v>
      </c>
      <c r="BF19" s="90">
        <v>14.250492495309601</v>
      </c>
      <c r="BG19" s="90">
        <v>14.332088180112599</v>
      </c>
      <c r="BH19" s="90">
        <v>14.413683864915599</v>
      </c>
      <c r="BI19" s="91">
        <v>14.4952795497186</v>
      </c>
      <c r="BJ19" s="90">
        <v>14.5768752345216</v>
      </c>
      <c r="BK19" s="99">
        <v>14.6584709193246</v>
      </c>
      <c r="BL19" s="99">
        <v>14.7400666041276</v>
      </c>
      <c r="BM19" s="99">
        <v>14.8216622889306</v>
      </c>
      <c r="BN19" s="99">
        <v>14.9032579737336</v>
      </c>
      <c r="BO19" s="99">
        <v>14.984853658536601</v>
      </c>
      <c r="BP19" s="99">
        <v>15.066449343339601</v>
      </c>
      <c r="BQ19" s="99">
        <v>15.148045028142599</v>
      </c>
      <c r="BR19" s="99">
        <v>15.229640712945599</v>
      </c>
      <c r="BS19" s="99">
        <v>15.311236397748599</v>
      </c>
      <c r="BT19" s="99">
        <v>15.3928320825516</v>
      </c>
      <c r="BU19" s="99">
        <v>15.4744277673546</v>
      </c>
      <c r="BV19" s="99">
        <v>15.5560234521576</v>
      </c>
      <c r="BW19" s="99">
        <v>15.6376191369606</v>
      </c>
      <c r="BX19" s="99">
        <v>15.7192148217636</v>
      </c>
      <c r="BY19" s="99">
        <v>15.8008105065666</v>
      </c>
      <c r="BZ19" s="99">
        <v>15.882406191369601</v>
      </c>
      <c r="CA19" s="99">
        <v>15.964001876172601</v>
      </c>
      <c r="CB19" s="99">
        <v>16.045597560975601</v>
      </c>
      <c r="CC19" s="99">
        <v>16.127193245778599</v>
      </c>
      <c r="CD19" s="99">
        <v>16.208788930581601</v>
      </c>
      <c r="CE19" s="99">
        <v>16.2903846153846</v>
      </c>
      <c r="CF19" s="99">
        <v>16.371980300187602</v>
      </c>
      <c r="CG19" s="99">
        <v>16.4535759849906</v>
      </c>
      <c r="CH19" s="99">
        <v>16.535171669793598</v>
      </c>
      <c r="CI19" s="99">
        <v>16.6167673545966</v>
      </c>
      <c r="CJ19" s="99">
        <v>16.698363039399599</v>
      </c>
      <c r="CK19" s="99">
        <v>16.779958724202601</v>
      </c>
      <c r="CL19" s="99">
        <v>16.861554409005599</v>
      </c>
      <c r="CM19" s="99">
        <v>16.943150093808601</v>
      </c>
      <c r="CN19" s="99">
        <v>17.024745778611599</v>
      </c>
      <c r="CO19" s="99">
        <v>17.106341463414601</v>
      </c>
      <c r="CP19" s="99">
        <v>17.1879371482176</v>
      </c>
      <c r="CQ19" s="99">
        <v>17.269532833020602</v>
      </c>
      <c r="CR19" s="99">
        <v>17.3511285178236</v>
      </c>
      <c r="CS19" s="99">
        <v>17.432724202626598</v>
      </c>
      <c r="CT19" s="99">
        <v>17.5143198874296</v>
      </c>
      <c r="CU19" s="99">
        <v>17.595915572232599</v>
      </c>
      <c r="CV19" s="99">
        <v>17.6775112570357</v>
      </c>
      <c r="CW19" s="99">
        <v>17.759106941838699</v>
      </c>
      <c r="CX19" s="99">
        <v>17.840702626641701</v>
      </c>
      <c r="CY19" s="99">
        <v>17.922298311444699</v>
      </c>
      <c r="CZ19" s="99">
        <v>18.003893996247701</v>
      </c>
      <c r="DA19" s="99">
        <v>18.085489681050699</v>
      </c>
      <c r="DB19" s="99">
        <v>18.167085365853701</v>
      </c>
      <c r="DC19" s="99">
        <v>18.2486810506567</v>
      </c>
      <c r="DD19" s="99">
        <v>18.330276735459702</v>
      </c>
      <c r="DE19" s="99">
        <v>18.4118724202627</v>
      </c>
      <c r="DF19" s="99">
        <v>18.493468105065698</v>
      </c>
      <c r="DG19" s="99">
        <v>18.5750637898687</v>
      </c>
      <c r="DH19" s="99">
        <v>18.656659474671699</v>
      </c>
      <c r="DI19" s="99">
        <v>18.738255159474701</v>
      </c>
      <c r="DJ19" s="99">
        <v>18.819850844277699</v>
      </c>
      <c r="DK19" s="99">
        <v>18.901446529080701</v>
      </c>
      <c r="DL19" s="99">
        <v>18.983042213883699</v>
      </c>
      <c r="DM19" s="99">
        <v>19.064637898686701</v>
      </c>
      <c r="DN19" s="99">
        <v>19.1462335834897</v>
      </c>
      <c r="DO19" s="99">
        <v>19.227829268292702</v>
      </c>
      <c r="DP19" s="99">
        <v>19.3094249530957</v>
      </c>
      <c r="DQ19" s="99">
        <v>19.391020637898698</v>
      </c>
      <c r="DR19" s="99">
        <v>19.4726163227017</v>
      </c>
      <c r="DS19" s="99">
        <v>19.554212007504699</v>
      </c>
      <c r="DT19" s="99">
        <v>19.635807692307701</v>
      </c>
      <c r="DU19" s="99">
        <v>19.717403377110699</v>
      </c>
      <c r="DV19" s="99">
        <v>19.798999061913701</v>
      </c>
      <c r="DW19" s="99">
        <v>19.880594746716699</v>
      </c>
      <c r="DX19" s="99">
        <v>19.962190431519701</v>
      </c>
      <c r="DY19" s="99">
        <v>20.0437861163227</v>
      </c>
      <c r="DZ19" s="99">
        <v>20.125381801125702</v>
      </c>
      <c r="EA19" s="99">
        <v>20.2069774859287</v>
      </c>
      <c r="EB19" s="99">
        <v>20.288573170731699</v>
      </c>
      <c r="EC19" s="99">
        <v>20.3701688555347</v>
      </c>
      <c r="ED19" s="99">
        <v>20.451764540337798</v>
      </c>
      <c r="EE19" s="99">
        <v>20.5333602251408</v>
      </c>
      <c r="EF19" s="99">
        <v>20.614955909943799</v>
      </c>
      <c r="EG19" s="99">
        <v>20.696551594746801</v>
      </c>
      <c r="EH19" s="99">
        <v>20.778147279549799</v>
      </c>
      <c r="EI19" s="99">
        <v>20.859742964352801</v>
      </c>
      <c r="EJ19" s="99">
        <v>20.941338649155799</v>
      </c>
      <c r="EK19" s="99">
        <v>21.022934333958801</v>
      </c>
      <c r="EL19" s="99">
        <v>21.1045300187618</v>
      </c>
      <c r="EM19" s="99">
        <v>21.186125703564802</v>
      </c>
      <c r="EN19" s="99">
        <v>21.2677213883678</v>
      </c>
      <c r="EO19" s="99">
        <v>21.349317073170798</v>
      </c>
      <c r="EP19" s="99">
        <v>21.4309127579738</v>
      </c>
      <c r="EQ19" s="99">
        <v>21.512508442776799</v>
      </c>
      <c r="ER19" s="99">
        <v>21.594104127579801</v>
      </c>
      <c r="ES19" s="99">
        <v>21.675699812382799</v>
      </c>
      <c r="ET19" s="99">
        <v>21.757295497185801</v>
      </c>
      <c r="EU19" s="99">
        <v>21.838891181988799</v>
      </c>
      <c r="EV19" s="99">
        <v>21.920486866791801</v>
      </c>
      <c r="EW19" s="99">
        <v>22.0020825515948</v>
      </c>
      <c r="EX19" s="99">
        <v>22.083678236397802</v>
      </c>
      <c r="EY19" s="99">
        <v>22.1652739212008</v>
      </c>
      <c r="EZ19" s="99">
        <v>22.246869606003798</v>
      </c>
      <c r="FA19" s="99">
        <v>22.3284652908068</v>
      </c>
      <c r="FB19" s="99">
        <v>22.410060975609799</v>
      </c>
      <c r="FC19" s="99">
        <v>22.491656660412801</v>
      </c>
      <c r="FD19" s="99">
        <v>22.573252345215799</v>
      </c>
      <c r="FE19" s="99">
        <v>22.654848030018801</v>
      </c>
      <c r="FF19" s="99">
        <v>22.736443714821799</v>
      </c>
      <c r="FG19" s="99">
        <v>22.818039399624801</v>
      </c>
      <c r="FH19" s="99">
        <v>22.8996350844278</v>
      </c>
      <c r="FI19" s="99">
        <v>22.981230769230802</v>
      </c>
      <c r="FJ19" s="99">
        <v>23.0628264540338</v>
      </c>
      <c r="FK19" s="99">
        <v>23.144422138836799</v>
      </c>
      <c r="FL19" s="99">
        <v>23.2260178236398</v>
      </c>
      <c r="FM19" s="99">
        <v>23.307613508442799</v>
      </c>
      <c r="FN19" s="99">
        <v>23.389209193245801</v>
      </c>
      <c r="FO19" s="99">
        <v>23.470804878048799</v>
      </c>
      <c r="FP19" s="99">
        <v>23.552400562851801</v>
      </c>
      <c r="FQ19" s="99">
        <v>23.6339962476548</v>
      </c>
      <c r="FR19" s="99">
        <v>23.715591932457802</v>
      </c>
      <c r="FS19" s="99">
        <v>23.7971876172608</v>
      </c>
      <c r="FT19" s="99">
        <v>23.878783302063798</v>
      </c>
      <c r="FU19" s="99">
        <v>23.9603789868668</v>
      </c>
      <c r="FV19" s="99">
        <v>24.041974671669799</v>
      </c>
      <c r="FW19" s="99">
        <v>24.123570356472801</v>
      </c>
      <c r="FX19" s="99">
        <v>24.205166041275799</v>
      </c>
      <c r="FY19" s="99">
        <v>24.286761726078801</v>
      </c>
      <c r="FZ19" s="99">
        <v>24.368357410881799</v>
      </c>
      <c r="GA19" s="99">
        <v>24.449953095684801</v>
      </c>
      <c r="GB19" s="99">
        <v>24.5315487804878</v>
      </c>
      <c r="GC19" s="99">
        <v>24.613144465290802</v>
      </c>
      <c r="GD19" s="99">
        <v>24.694740150093899</v>
      </c>
      <c r="GE19" s="99">
        <v>24.776335834896901</v>
      </c>
      <c r="GF19" s="99">
        <v>24.8579315196999</v>
      </c>
      <c r="GG19" s="99">
        <v>24.939527204502902</v>
      </c>
      <c r="GH19" s="99">
        <v>25.0211228893059</v>
      </c>
      <c r="GI19" s="99">
        <v>25.102718574108899</v>
      </c>
      <c r="GJ19" s="99">
        <v>25.1843142589119</v>
      </c>
      <c r="GK19" s="99">
        <v>25.265909943714899</v>
      </c>
      <c r="GL19" s="99">
        <v>25.347505628517901</v>
      </c>
      <c r="GM19" s="99">
        <v>25.429101313320899</v>
      </c>
      <c r="GN19" s="99">
        <v>25.510696998123901</v>
      </c>
      <c r="GO19" s="99">
        <v>25.5922926829269</v>
      </c>
      <c r="GP19" s="99">
        <v>25.673888367729901</v>
      </c>
      <c r="GQ19" s="99">
        <v>25.7554840525329</v>
      </c>
      <c r="GR19" s="99">
        <v>25.837079737335898</v>
      </c>
      <c r="GS19" s="99">
        <v>25.9186754221389</v>
      </c>
      <c r="GT19" s="99">
        <v>26.000271106941899</v>
      </c>
      <c r="GU19" s="99">
        <v>26.081866791744901</v>
      </c>
      <c r="GV19" s="99">
        <v>26.163462476547899</v>
      </c>
      <c r="GW19" s="99">
        <v>26.245058161350901</v>
      </c>
      <c r="GX19" s="99">
        <v>26.326653846153899</v>
      </c>
      <c r="GY19" s="99">
        <v>26.408249530956901</v>
      </c>
      <c r="GZ19" s="99">
        <v>26.4898452157599</v>
      </c>
      <c r="HA19" s="99">
        <v>26.571440900562902</v>
      </c>
      <c r="HB19" s="99">
        <v>26.6530365853659</v>
      </c>
      <c r="HC19" s="99">
        <v>26.734632270168898</v>
      </c>
      <c r="HD19" s="99">
        <v>26.8162279549719</v>
      </c>
      <c r="HE19" s="99">
        <v>26.897823639774899</v>
      </c>
      <c r="HF19" s="99">
        <v>26.979419324577901</v>
      </c>
      <c r="HG19" s="99">
        <v>27.061015009380899</v>
      </c>
      <c r="HH19" s="99">
        <v>27.142610694183901</v>
      </c>
      <c r="HI19" s="99">
        <v>27.224206378986899</v>
      </c>
      <c r="HJ19" s="99">
        <v>27.305802063789901</v>
      </c>
      <c r="HK19" s="99">
        <v>27.3873977485929</v>
      </c>
      <c r="HL19" s="99">
        <v>27.468993433395902</v>
      </c>
      <c r="HM19" s="99">
        <v>27.5505891181989</v>
      </c>
      <c r="HN19" s="99">
        <v>27.632184803001898</v>
      </c>
      <c r="HO19" s="99">
        <v>27.7137804878049</v>
      </c>
      <c r="HP19" s="99">
        <v>27.795376172607899</v>
      </c>
      <c r="HQ19" s="99">
        <v>27.876971857410901</v>
      </c>
      <c r="HR19" s="99">
        <v>27.958567542213899</v>
      </c>
      <c r="HS19" s="99">
        <v>28.040163227016901</v>
      </c>
      <c r="HT19" s="99">
        <v>28.121758911819899</v>
      </c>
      <c r="HU19" s="99">
        <v>28.203354596622901</v>
      </c>
      <c r="HV19" s="99">
        <v>28.2849502814259</v>
      </c>
      <c r="HW19" s="99">
        <v>28.366545966228902</v>
      </c>
      <c r="HX19" s="99">
        <v>28.4481416510319</v>
      </c>
      <c r="HY19" s="99">
        <v>28.529737335834898</v>
      </c>
      <c r="HZ19" s="99">
        <v>28.6113330206379</v>
      </c>
      <c r="IA19" s="99">
        <v>28.692928705440899</v>
      </c>
      <c r="IB19" s="99">
        <v>28.774524390243901</v>
      </c>
      <c r="IC19" s="99">
        <v>28.856120075046899</v>
      </c>
      <c r="ID19" s="99">
        <v>28.937715759849901</v>
      </c>
      <c r="IE19" s="99">
        <v>29.019311444652999</v>
      </c>
      <c r="IF19" s="99">
        <v>29.100907129456001</v>
      </c>
      <c r="IG19" s="99">
        <v>29.182502814258999</v>
      </c>
      <c r="IH19" s="99">
        <v>29.264098499062001</v>
      </c>
      <c r="II19" s="99">
        <v>29.345694183865</v>
      </c>
      <c r="IJ19" s="99">
        <v>29.427289868668002</v>
      </c>
      <c r="IK19" s="99">
        <v>29.508885553471</v>
      </c>
      <c r="IL19" s="99">
        <v>29.590481238273998</v>
      </c>
      <c r="IM19" s="99">
        <v>29.672076923077</v>
      </c>
      <c r="IN19" s="99">
        <v>29.753672607879999</v>
      </c>
      <c r="IO19" s="99">
        <v>29.835268292683001</v>
      </c>
      <c r="IP19" s="99">
        <v>29.916863977485999</v>
      </c>
      <c r="IQ19" s="99">
        <v>29.998459662289001</v>
      </c>
      <c r="IR19" s="99">
        <v>30.080055347091999</v>
      </c>
      <c r="IS19" s="99">
        <v>30.161651031895001</v>
      </c>
      <c r="IT19" s="99">
        <v>30.243246716698</v>
      </c>
      <c r="IU19" s="99">
        <v>30.324842401501002</v>
      </c>
      <c r="IV19" s="99">
        <v>30.406438086304</v>
      </c>
      <c r="IW19" s="99">
        <v>30.488033771106998</v>
      </c>
      <c r="IX19" s="99">
        <v>30.56962945591</v>
      </c>
      <c r="IY19" s="99">
        <v>30.651225140712999</v>
      </c>
      <c r="IZ19" s="99">
        <v>30.732820825516001</v>
      </c>
      <c r="JA19" s="99">
        <v>30.814416510318999</v>
      </c>
      <c r="JB19" s="99">
        <v>30.896012195122001</v>
      </c>
      <c r="JC19" s="99">
        <v>30.977607879924999</v>
      </c>
      <c r="JD19" s="99">
        <v>31.059203564728001</v>
      </c>
      <c r="JE19" s="99">
        <v>31.140799249531</v>
      </c>
      <c r="JF19" s="99">
        <v>31.222394934334002</v>
      </c>
      <c r="JG19" s="99">
        <v>31.303990619137</v>
      </c>
      <c r="JH19" s="99">
        <v>31.385586303939998</v>
      </c>
      <c r="JI19" s="99">
        <v>31.467181988743</v>
      </c>
      <c r="JJ19" s="99">
        <v>31.548777673545999</v>
      </c>
      <c r="JK19" s="99">
        <v>31.630373358349001</v>
      </c>
      <c r="JL19" s="99">
        <v>31.711969043151999</v>
      </c>
      <c r="JM19" s="99">
        <v>31.793564727955001</v>
      </c>
      <c r="JN19" s="99">
        <v>31.875160412757999</v>
      </c>
      <c r="JO19" s="99">
        <v>31.956756097561001</v>
      </c>
      <c r="JP19" s="99">
        <v>32.038351782364003</v>
      </c>
      <c r="JQ19" s="99">
        <v>32.119947467167002</v>
      </c>
      <c r="JR19" s="99">
        <v>32.20154315197</v>
      </c>
      <c r="JS19" s="99">
        <v>32.283138836772999</v>
      </c>
      <c r="JT19" s="99">
        <v>32.364734521575997</v>
      </c>
      <c r="JU19" s="99">
        <v>32.446330206379002</v>
      </c>
      <c r="JV19" s="99">
        <v>32.527925891182001</v>
      </c>
      <c r="JW19" s="99">
        <v>32.609521575984999</v>
      </c>
      <c r="JX19" s="99">
        <v>32.691117260787998</v>
      </c>
      <c r="JY19" s="99">
        <v>32.772712945591003</v>
      </c>
      <c r="JZ19" s="99">
        <v>32.854308630394002</v>
      </c>
      <c r="KA19" s="99">
        <v>32.935904315197</v>
      </c>
      <c r="KB19" s="99">
        <v>33.017499999999998</v>
      </c>
      <c r="KC19" s="99">
        <v>33.099095684802997</v>
      </c>
      <c r="KD19" s="99">
        <v>33.180691369606002</v>
      </c>
      <c r="KE19" s="99">
        <v>33.2622870544091</v>
      </c>
      <c r="KF19" s="99">
        <v>33.343882739212098</v>
      </c>
      <c r="KG19" s="99">
        <v>33.425478424015097</v>
      </c>
      <c r="KH19" s="99">
        <v>33.507074108818102</v>
      </c>
      <c r="KI19" s="99">
        <v>33.588669793621101</v>
      </c>
      <c r="KJ19" s="99">
        <v>33.670265478424099</v>
      </c>
      <c r="KK19" s="99">
        <v>33.751861163227098</v>
      </c>
      <c r="KL19" s="99">
        <v>33.833456848030103</v>
      </c>
      <c r="KM19" s="99">
        <v>33.915052532833101</v>
      </c>
      <c r="KN19" s="99">
        <v>33.9966482176361</v>
      </c>
      <c r="KO19" s="99">
        <v>34.078243902439098</v>
      </c>
      <c r="KP19" s="99">
        <v>34.159839587242097</v>
      </c>
      <c r="KQ19" s="99">
        <v>34.241435272045102</v>
      </c>
      <c r="KR19" s="99">
        <v>34.3230309568481</v>
      </c>
      <c r="KS19" s="99">
        <v>34.404626641651099</v>
      </c>
      <c r="KT19" s="99">
        <v>34.486222326454097</v>
      </c>
      <c r="KU19" s="99">
        <v>34.567818011257103</v>
      </c>
      <c r="KV19" s="99">
        <v>34.649413696060101</v>
      </c>
      <c r="KW19" s="99">
        <v>34.7310093808631</v>
      </c>
      <c r="KX19" s="99">
        <v>34.812605065666098</v>
      </c>
      <c r="KY19" s="99">
        <v>34.894200750469103</v>
      </c>
      <c r="KZ19" s="99">
        <v>34.975796435272102</v>
      </c>
      <c r="LA19" s="99">
        <v>35.0573921200751</v>
      </c>
      <c r="LB19" s="99">
        <v>35.138987804878099</v>
      </c>
      <c r="LC19" s="99">
        <v>35.220583489681097</v>
      </c>
      <c r="LD19" s="99">
        <v>35.302179174484102</v>
      </c>
      <c r="LE19" s="99">
        <v>35.383774859287101</v>
      </c>
      <c r="LF19" s="99">
        <v>35.465370544090099</v>
      </c>
      <c r="LG19" s="99">
        <v>35.546966228893098</v>
      </c>
      <c r="LH19" s="99">
        <v>35.628561913696103</v>
      </c>
      <c r="LI19" s="99">
        <v>35.710157598499102</v>
      </c>
      <c r="LJ19" s="99">
        <v>35.7917532833021</v>
      </c>
      <c r="LK19" s="99">
        <v>35.873348968105098</v>
      </c>
      <c r="LL19" s="99">
        <v>35.954944652908097</v>
      </c>
      <c r="LM19" s="99">
        <v>36.036540337711102</v>
      </c>
      <c r="LN19" s="99">
        <v>36.118136022514101</v>
      </c>
      <c r="LO19" s="99">
        <v>36.199731707317099</v>
      </c>
      <c r="LP19" s="99">
        <v>36.281327392120097</v>
      </c>
      <c r="LQ19" s="99">
        <v>36.362923076923103</v>
      </c>
      <c r="LR19" s="99">
        <v>36.444518761726101</v>
      </c>
      <c r="LS19" s="99">
        <v>36.5261144465291</v>
      </c>
      <c r="LT19" s="99">
        <v>36.607710131332098</v>
      </c>
      <c r="LU19" s="99">
        <v>36.689305816135096</v>
      </c>
      <c r="LV19" s="99">
        <v>36.770901500938102</v>
      </c>
      <c r="LW19" s="99">
        <v>36.8524971857411</v>
      </c>
      <c r="LX19" s="99">
        <v>36.934092870544099</v>
      </c>
      <c r="LY19" s="99">
        <v>37.015688555347097</v>
      </c>
      <c r="LZ19" s="99">
        <v>37.097284240150103</v>
      </c>
      <c r="MA19" s="99">
        <v>37.178879924953101</v>
      </c>
      <c r="MB19" s="99">
        <v>37.260475609756099</v>
      </c>
      <c r="MC19" s="99">
        <v>37.342071294559098</v>
      </c>
      <c r="MD19" s="99">
        <v>37.423666979362103</v>
      </c>
      <c r="ME19" s="99">
        <v>37.505262664165102</v>
      </c>
      <c r="MF19" s="99">
        <v>37.5868583489682</v>
      </c>
      <c r="MG19" s="99">
        <v>37.668454033771198</v>
      </c>
      <c r="MH19" s="99">
        <v>37.750049718574203</v>
      </c>
      <c r="MI19" s="99">
        <v>37.831645403377202</v>
      </c>
      <c r="MJ19" s="99">
        <v>37.9132410881802</v>
      </c>
      <c r="MK19" s="99">
        <v>37.994836772983199</v>
      </c>
      <c r="ML19" s="99">
        <v>38.076432457786197</v>
      </c>
      <c r="MM19" s="99">
        <v>38.158028142589203</v>
      </c>
      <c r="MN19" s="99">
        <v>38.239623827392201</v>
      </c>
      <c r="MO19" s="99">
        <v>38.321219512195199</v>
      </c>
      <c r="MP19" s="99">
        <v>38.402815196998198</v>
      </c>
      <c r="MQ19" s="99">
        <v>38.484410881801203</v>
      </c>
      <c r="MR19" s="99">
        <v>38.566006566604202</v>
      </c>
      <c r="MS19" s="99">
        <v>38.6476022514072</v>
      </c>
      <c r="MT19" s="99">
        <v>38.729197936210198</v>
      </c>
      <c r="MU19" s="99">
        <v>38.810793621013197</v>
      </c>
      <c r="MV19" s="99">
        <v>38.892389305816202</v>
      </c>
      <c r="MW19" s="99">
        <v>38.973984990619201</v>
      </c>
      <c r="MX19" s="99">
        <v>39.055580675422199</v>
      </c>
      <c r="MY19" s="99">
        <v>39.137176360225197</v>
      </c>
      <c r="MZ19" s="99">
        <v>39.218772045028203</v>
      </c>
      <c r="NA19" s="99">
        <v>39.300367729831201</v>
      </c>
      <c r="NB19" s="99">
        <v>39.3819634146342</v>
      </c>
      <c r="NC19" s="99">
        <v>39.463559099437198</v>
      </c>
      <c r="ND19" s="99">
        <v>39.545154784240196</v>
      </c>
      <c r="NE19" s="99">
        <v>39.626750469043202</v>
      </c>
      <c r="NF19" s="99">
        <v>39.7083461538462</v>
      </c>
      <c r="NG19" s="99">
        <v>39.789941838649199</v>
      </c>
      <c r="NH19" s="99">
        <v>39.871537523452197</v>
      </c>
      <c r="NI19" s="99">
        <v>39.953133208255203</v>
      </c>
      <c r="NJ19" s="99">
        <v>40.034728893058201</v>
      </c>
      <c r="NK19" s="99">
        <v>40.116324577861199</v>
      </c>
      <c r="NL19" s="99">
        <v>40.197920262664198</v>
      </c>
      <c r="NM19" s="99">
        <v>40.279515947467203</v>
      </c>
      <c r="NN19" s="99">
        <v>40.361111632270202</v>
      </c>
      <c r="NO19" s="99">
        <v>40.4427073170732</v>
      </c>
      <c r="NP19" s="99">
        <v>40.524303001876198</v>
      </c>
      <c r="NQ19" s="99">
        <v>40.605898686679197</v>
      </c>
      <c r="NR19" s="99">
        <v>40.687494371482202</v>
      </c>
      <c r="NS19" s="99">
        <v>40.769090056285201</v>
      </c>
      <c r="NT19" s="99">
        <v>40.850685741088199</v>
      </c>
      <c r="NU19" s="99">
        <v>40.932281425891198</v>
      </c>
      <c r="NV19" s="99">
        <v>41.013877110694203</v>
      </c>
      <c r="NW19" s="99">
        <v>41.095472795497201</v>
      </c>
      <c r="NX19" s="99">
        <v>41.1770684803002</v>
      </c>
      <c r="NY19" s="99">
        <v>41.258664165103198</v>
      </c>
      <c r="NZ19" s="99">
        <v>41.340259849906197</v>
      </c>
      <c r="OA19" s="99">
        <v>41.421855534709202</v>
      </c>
      <c r="OB19" s="99">
        <v>41.503451219512201</v>
      </c>
      <c r="OC19" s="99">
        <v>41.585046904315199</v>
      </c>
      <c r="OD19" s="99">
        <v>41.666642589118197</v>
      </c>
      <c r="OE19" s="99">
        <v>41.748238273921203</v>
      </c>
      <c r="OF19" s="99">
        <v>41.829833958724301</v>
      </c>
      <c r="OG19" s="99">
        <v>41.911429643527299</v>
      </c>
      <c r="OH19" s="99">
        <v>41.993025328330297</v>
      </c>
      <c r="OI19" s="99">
        <v>42.074621013133303</v>
      </c>
      <c r="OJ19" s="99">
        <v>42.156216697936301</v>
      </c>
      <c r="OK19" s="99">
        <v>42.2378123827393</v>
      </c>
      <c r="OL19" s="99">
        <v>42.319408067542298</v>
      </c>
      <c r="OM19" s="99">
        <v>42.401003752345297</v>
      </c>
      <c r="ON19" s="99">
        <v>42.482599437148302</v>
      </c>
      <c r="OO19" s="99">
        <v>42.5641951219513</v>
      </c>
      <c r="OP19" s="99">
        <v>42.645790806754299</v>
      </c>
      <c r="OQ19" s="99">
        <v>42.727386491557297</v>
      </c>
      <c r="OR19" s="99">
        <v>42.808982176360303</v>
      </c>
      <c r="OS19" s="99">
        <v>42.890577861163301</v>
      </c>
      <c r="OT19" s="99">
        <v>42.972173545966299</v>
      </c>
      <c r="OU19" s="99">
        <v>43.053769230769298</v>
      </c>
      <c r="OV19" s="99">
        <v>43.135364915572303</v>
      </c>
      <c r="OW19" s="99">
        <v>43.216960600375302</v>
      </c>
      <c r="OX19" s="99">
        <v>43.2985562851783</v>
      </c>
      <c r="OY19" s="99">
        <v>43.380151969981299</v>
      </c>
      <c r="OZ19" s="99">
        <v>43.461747654784297</v>
      </c>
      <c r="PA19" s="99">
        <v>43.543343339587302</v>
      </c>
      <c r="PB19" s="99">
        <v>43.624939024390301</v>
      </c>
      <c r="PC19" s="99">
        <v>43.706534709193299</v>
      </c>
      <c r="PD19" s="99">
        <v>43.788130393996298</v>
      </c>
      <c r="PE19" s="99">
        <v>43.869726078799303</v>
      </c>
      <c r="PF19" s="99">
        <v>43.951321763602301</v>
      </c>
      <c r="PG19" s="99">
        <v>44.0329174484053</v>
      </c>
      <c r="PH19" s="99">
        <v>44.114513133208298</v>
      </c>
      <c r="PI19" s="99">
        <v>44.196108818011297</v>
      </c>
      <c r="PJ19" s="99">
        <v>44.277704502814302</v>
      </c>
      <c r="PK19" s="99">
        <v>44.359300187617301</v>
      </c>
      <c r="PL19" s="99">
        <v>44.440895872420299</v>
      </c>
      <c r="PM19" s="99">
        <v>44.522491557223297</v>
      </c>
      <c r="PN19" s="99">
        <v>44.604087242026303</v>
      </c>
      <c r="PO19" s="99">
        <v>44.685682926829301</v>
      </c>
      <c r="PP19" s="99">
        <v>44.7672786116323</v>
      </c>
      <c r="PQ19" s="99">
        <v>44.848874296435298</v>
      </c>
      <c r="PR19" s="99">
        <v>44.930469981238303</v>
      </c>
      <c r="PS19" s="99">
        <v>45.012065666041302</v>
      </c>
      <c r="PT19" s="99">
        <v>45.0936613508443</v>
      </c>
      <c r="PU19" s="99">
        <v>45.175257035647299</v>
      </c>
      <c r="PV19" s="99">
        <v>45.256852720450297</v>
      </c>
      <c r="PW19" s="99">
        <v>45.338448405253303</v>
      </c>
      <c r="PX19" s="99">
        <v>45.420044090056301</v>
      </c>
      <c r="PY19" s="99">
        <v>45.501639774859299</v>
      </c>
      <c r="PZ19" s="99">
        <v>45.583235459662298</v>
      </c>
      <c r="QA19" s="99">
        <v>45.664831144465303</v>
      </c>
      <c r="QB19" s="99">
        <v>45.746426829268302</v>
      </c>
      <c r="QC19" s="99">
        <v>45.8280225140713</v>
      </c>
      <c r="QD19" s="99">
        <v>45.909618198874298</v>
      </c>
      <c r="QE19" s="99">
        <v>45.991213883677297</v>
      </c>
      <c r="QF19" s="99">
        <v>46.072809568480302</v>
      </c>
      <c r="QG19" s="99">
        <v>46.1544052532834</v>
      </c>
      <c r="QH19" s="99">
        <v>46.236000938086299</v>
      </c>
      <c r="QI19" s="99">
        <v>46.317596622889397</v>
      </c>
      <c r="QJ19" s="99">
        <v>46.399192307692402</v>
      </c>
      <c r="QK19" s="99">
        <v>46.480787992495401</v>
      </c>
      <c r="QL19" s="99">
        <v>46.562383677298399</v>
      </c>
      <c r="QM19" s="99">
        <v>46.643979362101398</v>
      </c>
      <c r="QN19" s="99">
        <v>46.725575046904403</v>
      </c>
      <c r="QO19" s="99">
        <v>46.807170731707402</v>
      </c>
      <c r="QP19" s="99">
        <v>46.8887664165104</v>
      </c>
      <c r="QQ19" s="99">
        <v>46.970362101313398</v>
      </c>
      <c r="QR19" s="99">
        <v>47.051957786116397</v>
      </c>
      <c r="QS19" s="99">
        <v>47.133553470919402</v>
      </c>
      <c r="QT19" s="99">
        <v>47.215149155722401</v>
      </c>
      <c r="QU19" s="99">
        <v>47.296744840525399</v>
      </c>
      <c r="QV19" s="99">
        <v>47.378340525328397</v>
      </c>
      <c r="QW19" s="99">
        <v>47.459936210131403</v>
      </c>
      <c r="QX19" s="99">
        <v>47.541531894934401</v>
      </c>
      <c r="QY19" s="99">
        <v>47.6231275797374</v>
      </c>
      <c r="QZ19" s="99">
        <v>47.704723264540398</v>
      </c>
      <c r="RA19" s="99">
        <v>47.786318949343404</v>
      </c>
      <c r="RB19" s="99">
        <v>47.867914634146402</v>
      </c>
      <c r="RC19" s="99">
        <v>47.9495103189494</v>
      </c>
      <c r="RD19" s="99">
        <v>48.031106003752399</v>
      </c>
      <c r="RE19" s="99">
        <v>48.112701688555397</v>
      </c>
      <c r="RF19" s="99">
        <v>48.194297373358403</v>
      </c>
      <c r="RG19" s="99">
        <v>48.275893058161401</v>
      </c>
      <c r="RH19" s="99">
        <v>48.357488742964399</v>
      </c>
      <c r="RI19" s="99">
        <v>48.439084427767398</v>
      </c>
      <c r="RJ19" s="99">
        <v>48.520680112570403</v>
      </c>
      <c r="RK19" s="99">
        <v>48.602275797373402</v>
      </c>
      <c r="RL19" s="99">
        <v>48.6838714821764</v>
      </c>
      <c r="RM19" s="99">
        <v>48.765467166979398</v>
      </c>
      <c r="RN19" s="99">
        <v>48.847062851782397</v>
      </c>
      <c r="RO19" s="99">
        <v>48.928658536585402</v>
      </c>
      <c r="RP19" s="99">
        <v>49.010254221388401</v>
      </c>
      <c r="RQ19" s="99">
        <v>49.091849906191399</v>
      </c>
      <c r="RR19" s="99">
        <v>49.173445590994397</v>
      </c>
      <c r="RS19" s="99">
        <v>49.255041275797403</v>
      </c>
      <c r="RT19" s="99">
        <v>49.336636960600401</v>
      </c>
      <c r="RU19" s="99">
        <v>49.4182326454034</v>
      </c>
      <c r="RV19" s="99">
        <v>49.499828330206398</v>
      </c>
      <c r="RW19" s="99">
        <v>49.581424015009397</v>
      </c>
      <c r="RX19" s="99">
        <v>49.663019699812402</v>
      </c>
      <c r="RY19" s="99">
        <v>49.7446153846154</v>
      </c>
      <c r="RZ19" s="99">
        <v>49.826211069418399</v>
      </c>
      <c r="SA19" s="99">
        <v>49.907806754221397</v>
      </c>
      <c r="SB19" s="99">
        <v>49.989402439024403</v>
      </c>
      <c r="SC19" s="99">
        <v>50.070998123827401</v>
      </c>
      <c r="SD19" s="99">
        <v>50.1525938086304</v>
      </c>
      <c r="SE19" s="99">
        <v>50.234189493433398</v>
      </c>
      <c r="SF19" s="99">
        <v>50.315785178236403</v>
      </c>
      <c r="SG19" s="99">
        <v>50.397380863039501</v>
      </c>
      <c r="SH19" s="99">
        <v>50.4789765478425</v>
      </c>
      <c r="SI19" s="99">
        <v>50.560572232645498</v>
      </c>
      <c r="SJ19" s="99">
        <v>50.642167917448504</v>
      </c>
      <c r="SK19" s="99">
        <v>50.723763602251502</v>
      </c>
      <c r="SL19" s="99">
        <v>50.8053592870545</v>
      </c>
      <c r="SM19" s="99">
        <v>50.886954971857499</v>
      </c>
      <c r="SN19" s="99">
        <v>50.968550656660497</v>
      </c>
      <c r="SO19" s="99">
        <v>51.050146341463503</v>
      </c>
      <c r="SP19" s="99">
        <v>51.131742026266501</v>
      </c>
      <c r="SQ19" s="99">
        <v>51.213337711069499</v>
      </c>
      <c r="SR19" s="99">
        <v>51.294933395872498</v>
      </c>
      <c r="SS19" s="99">
        <v>51.376529080675503</v>
      </c>
      <c r="ST19" s="99">
        <v>51.458124765478502</v>
      </c>
      <c r="SU19" s="99">
        <v>51.5397204502815</v>
      </c>
      <c r="SV19" s="99">
        <v>51.621316135084498</v>
      </c>
      <c r="SW19" s="99">
        <v>51.702911819887497</v>
      </c>
      <c r="SX19" s="99">
        <v>51.784507504690502</v>
      </c>
      <c r="SY19" s="99">
        <v>51.866103189493501</v>
      </c>
      <c r="SZ19" s="99">
        <v>51.947698874296499</v>
      </c>
      <c r="TA19" s="99">
        <v>52.029294559099498</v>
      </c>
      <c r="TB19" s="99">
        <v>52.110890243902503</v>
      </c>
      <c r="TC19" s="99">
        <v>52.192485928705501</v>
      </c>
      <c r="TD19" s="99">
        <v>52.2740816135085</v>
      </c>
      <c r="TE19" s="99">
        <v>52.355677298311498</v>
      </c>
      <c r="TF19" s="99">
        <v>52.437272983114497</v>
      </c>
      <c r="TG19" s="99">
        <v>52.518868667917502</v>
      </c>
      <c r="TH19" s="99">
        <v>52.6004643527205</v>
      </c>
      <c r="TI19" s="99">
        <v>52.682060037523499</v>
      </c>
      <c r="TJ19" s="99">
        <v>52.763655722326497</v>
      </c>
      <c r="TK19" s="99">
        <v>52.845251407129503</v>
      </c>
      <c r="TL19" s="99">
        <v>52.926847091932501</v>
      </c>
      <c r="TM19" s="99">
        <v>53.0084427767355</v>
      </c>
      <c r="TN19" s="99">
        <v>53.090038461538498</v>
      </c>
      <c r="TO19" s="99">
        <v>53.171634146341503</v>
      </c>
      <c r="TP19" s="99">
        <v>53.253229831144502</v>
      </c>
      <c r="TQ19" s="99">
        <v>53.3348255159475</v>
      </c>
      <c r="TR19" s="99">
        <v>53.416421200750499</v>
      </c>
      <c r="TS19" s="99">
        <v>53.498016885553497</v>
      </c>
      <c r="TT19" s="99">
        <v>53.579612570356502</v>
      </c>
      <c r="TU19" s="99">
        <v>53.661208255159501</v>
      </c>
      <c r="TV19" s="99">
        <v>53.742803939962499</v>
      </c>
      <c r="TW19" s="99">
        <v>53.824399624765498</v>
      </c>
      <c r="TX19" s="99">
        <v>53.905995309568503</v>
      </c>
      <c r="TY19" s="99">
        <v>53.987590994371502</v>
      </c>
      <c r="TZ19" s="99">
        <v>54.0691866791745</v>
      </c>
      <c r="UA19" s="99">
        <v>54.150782363977498</v>
      </c>
      <c r="UB19" s="99">
        <v>54.232378048780497</v>
      </c>
      <c r="UC19" s="99">
        <v>54.313973733583502</v>
      </c>
      <c r="UD19" s="99">
        <v>54.395569418386501</v>
      </c>
      <c r="UE19" s="99">
        <v>54.477165103189499</v>
      </c>
      <c r="UF19" s="99">
        <v>54.558760787992497</v>
      </c>
      <c r="UG19" s="99">
        <v>54.640356472795503</v>
      </c>
      <c r="UH19" s="99">
        <v>54.721952157598601</v>
      </c>
      <c r="UI19" s="99">
        <v>54.803547842401599</v>
      </c>
      <c r="UJ19" s="99">
        <v>54.885143527204598</v>
      </c>
      <c r="UK19" s="99">
        <v>54.966739212007603</v>
      </c>
      <c r="UL19" s="99">
        <v>55.048334896810601</v>
      </c>
      <c r="UM19" s="99">
        <v>55.1299305816136</v>
      </c>
      <c r="UN19" s="99">
        <v>55.211526266416598</v>
      </c>
      <c r="UO19" s="99">
        <v>55.293121951219597</v>
      </c>
      <c r="UP19" s="99">
        <v>55.374717636022602</v>
      </c>
      <c r="UQ19" s="99">
        <v>55.4563133208256</v>
      </c>
      <c r="UR19" s="99">
        <v>55.537909005628599</v>
      </c>
      <c r="US19" s="99">
        <v>55.619504690431597</v>
      </c>
      <c r="UT19" s="99">
        <v>55.701100375234603</v>
      </c>
    </row>
    <row r="20" spans="1:566" x14ac:dyDescent="0.2">
      <c r="A20" s="89">
        <v>7</v>
      </c>
      <c r="B20" s="90">
        <v>9.56</v>
      </c>
      <c r="C20" s="90">
        <v>9.64</v>
      </c>
      <c r="D20" s="90">
        <v>9.7200000000000006</v>
      </c>
      <c r="E20" s="90">
        <v>9.8000000000000007</v>
      </c>
      <c r="F20" s="90">
        <v>9.8800000000000008</v>
      </c>
      <c r="G20" s="90">
        <v>9.9600000000000009</v>
      </c>
      <c r="H20" s="90">
        <v>10.039999999999999</v>
      </c>
      <c r="I20" s="90">
        <v>10.119999999999999</v>
      </c>
      <c r="J20" s="90">
        <v>10.199999999999999</v>
      </c>
      <c r="K20" s="90">
        <v>10.29</v>
      </c>
      <c r="L20" s="90">
        <v>10.37</v>
      </c>
      <c r="M20" s="90">
        <v>10.45</v>
      </c>
      <c r="N20" s="90">
        <v>10.53</v>
      </c>
      <c r="O20" s="90">
        <v>10.61</v>
      </c>
      <c r="P20" s="90">
        <v>10.69</v>
      </c>
      <c r="Q20" s="90">
        <v>10.77</v>
      </c>
      <c r="R20" s="90">
        <v>10.85</v>
      </c>
      <c r="S20" s="90">
        <v>10.93</v>
      </c>
      <c r="T20" s="90">
        <v>11.01</v>
      </c>
      <c r="U20" s="91">
        <v>11.09</v>
      </c>
      <c r="V20" s="90">
        <v>11.17</v>
      </c>
      <c r="W20" s="90">
        <v>11.25</v>
      </c>
      <c r="X20" s="90">
        <v>11.33</v>
      </c>
      <c r="Y20" s="90">
        <v>11.41</v>
      </c>
      <c r="Z20" s="90">
        <v>11.49</v>
      </c>
      <c r="AA20" s="90">
        <v>11.58</v>
      </c>
      <c r="AB20" s="90">
        <v>11.66</v>
      </c>
      <c r="AC20" s="90">
        <v>11.74</v>
      </c>
      <c r="AD20" s="90">
        <v>11.82</v>
      </c>
      <c r="AE20" s="90">
        <v>11.9</v>
      </c>
      <c r="AF20" s="90">
        <v>11.98</v>
      </c>
      <c r="AG20" s="90">
        <v>12.06</v>
      </c>
      <c r="AH20" s="90">
        <v>12.14</v>
      </c>
      <c r="AI20" s="90">
        <v>12.22</v>
      </c>
      <c r="AJ20" s="90">
        <v>12.3</v>
      </c>
      <c r="AK20" s="90">
        <v>12.38</v>
      </c>
      <c r="AL20" s="90">
        <v>12.46</v>
      </c>
      <c r="AM20" s="90">
        <v>12.54</v>
      </c>
      <c r="AN20" s="90">
        <v>12.62</v>
      </c>
      <c r="AO20" s="91">
        <v>12.7</v>
      </c>
      <c r="AP20" s="90">
        <v>12.784076923076899</v>
      </c>
      <c r="AQ20" s="90">
        <v>12.864690431519699</v>
      </c>
      <c r="AR20" s="90">
        <v>12.9453039399625</v>
      </c>
      <c r="AS20" s="90">
        <v>13.0259174484053</v>
      </c>
      <c r="AT20" s="90">
        <v>13.106530956847999</v>
      </c>
      <c r="AU20" s="90">
        <v>13.1871444652908</v>
      </c>
      <c r="AV20" s="90">
        <v>13.2677579737336</v>
      </c>
      <c r="AW20" s="90">
        <v>13.3483714821764</v>
      </c>
      <c r="AX20" s="90">
        <v>13.428984990619099</v>
      </c>
      <c r="AY20" s="90">
        <v>13.5095984990619</v>
      </c>
      <c r="AZ20" s="90">
        <v>13.5902120075047</v>
      </c>
      <c r="BA20" s="90">
        <v>13.670825515947501</v>
      </c>
      <c r="BB20" s="90">
        <v>13.7514390243902</v>
      </c>
      <c r="BC20" s="90">
        <v>13.832052532833</v>
      </c>
      <c r="BD20" s="90">
        <v>13.9126660412758</v>
      </c>
      <c r="BE20" s="90">
        <v>13.993279549718601</v>
      </c>
      <c r="BF20" s="90">
        <v>14.073893058161399</v>
      </c>
      <c r="BG20" s="90">
        <v>14.1545065666041</v>
      </c>
      <c r="BH20" s="90">
        <v>14.2351200750469</v>
      </c>
      <c r="BI20" s="91">
        <v>14.315733583489701</v>
      </c>
      <c r="BJ20" s="90">
        <v>14.396347091932499</v>
      </c>
      <c r="BK20" s="99">
        <v>14.4769606003752</v>
      </c>
      <c r="BL20" s="99">
        <v>14.557574108818001</v>
      </c>
      <c r="BM20" s="99">
        <v>14.638187617260799</v>
      </c>
      <c r="BN20" s="99">
        <v>14.7188011257036</v>
      </c>
      <c r="BO20" s="99">
        <v>14.7994146341463</v>
      </c>
      <c r="BP20" s="99">
        <v>14.880028142589101</v>
      </c>
      <c r="BQ20" s="99">
        <v>14.960641651031899</v>
      </c>
      <c r="BR20" s="99">
        <v>15.0412551594747</v>
      </c>
      <c r="BS20" s="99">
        <v>15.1218686679175</v>
      </c>
      <c r="BT20" s="99">
        <v>15.202482176360199</v>
      </c>
      <c r="BU20" s="99">
        <v>15.283095684803</v>
      </c>
      <c r="BV20" s="99">
        <v>15.3637091932458</v>
      </c>
      <c r="BW20" s="99">
        <v>15.4443227016886</v>
      </c>
      <c r="BX20" s="99">
        <v>15.524936210131299</v>
      </c>
      <c r="BY20" s="99">
        <v>15.6055497185741</v>
      </c>
      <c r="BZ20" s="99">
        <v>15.6861632270169</v>
      </c>
      <c r="CA20" s="99">
        <v>15.7667767354597</v>
      </c>
      <c r="CB20" s="99">
        <v>15.847390243902399</v>
      </c>
      <c r="CC20" s="99">
        <v>15.9280037523452</v>
      </c>
      <c r="CD20" s="99">
        <v>16.008617260788</v>
      </c>
      <c r="CE20" s="99">
        <v>16.089230769230799</v>
      </c>
      <c r="CF20" s="99">
        <v>16.169844277673601</v>
      </c>
      <c r="CG20" s="99">
        <v>16.2504577861163</v>
      </c>
      <c r="CH20" s="99">
        <v>16.331071294559099</v>
      </c>
      <c r="CI20" s="99">
        <v>16.411684803001901</v>
      </c>
      <c r="CJ20" s="99">
        <v>16.492298311444699</v>
      </c>
      <c r="CK20" s="99">
        <v>16.572911819887398</v>
      </c>
      <c r="CL20" s="99">
        <v>16.6535253283302</v>
      </c>
      <c r="CM20" s="99">
        <v>16.734138836772999</v>
      </c>
      <c r="CN20" s="99">
        <v>16.814752345215801</v>
      </c>
      <c r="CO20" s="99">
        <v>16.8953658536585</v>
      </c>
      <c r="CP20" s="99">
        <v>16.975979362101299</v>
      </c>
      <c r="CQ20" s="99">
        <v>17.056592870544101</v>
      </c>
      <c r="CR20" s="99">
        <v>17.1372063789869</v>
      </c>
      <c r="CS20" s="99">
        <v>17.217819887429702</v>
      </c>
      <c r="CT20" s="99">
        <v>17.298433395872401</v>
      </c>
      <c r="CU20" s="99">
        <v>17.379046904315199</v>
      </c>
      <c r="CV20" s="99">
        <v>17.459660412758002</v>
      </c>
      <c r="CW20" s="99">
        <v>17.5402739212008</v>
      </c>
      <c r="CX20" s="99">
        <v>17.620887429643499</v>
      </c>
      <c r="CY20" s="99">
        <v>17.701500938086301</v>
      </c>
      <c r="CZ20" s="99">
        <v>17.7821144465291</v>
      </c>
      <c r="DA20" s="99">
        <v>17.862727954971898</v>
      </c>
      <c r="DB20" s="99">
        <v>17.943341463414601</v>
      </c>
      <c r="DC20" s="99">
        <v>18.0239549718574</v>
      </c>
      <c r="DD20" s="99">
        <v>18.104568480300198</v>
      </c>
      <c r="DE20" s="99">
        <v>18.185181988743</v>
      </c>
      <c r="DF20" s="99">
        <v>18.2657954971857</v>
      </c>
      <c r="DG20" s="99">
        <v>18.346409005628502</v>
      </c>
      <c r="DH20" s="99">
        <v>18.4270225140713</v>
      </c>
      <c r="DI20" s="99">
        <v>18.507636022514099</v>
      </c>
      <c r="DJ20" s="99">
        <v>18.588249530956901</v>
      </c>
      <c r="DK20" s="99">
        <v>18.6688630393996</v>
      </c>
      <c r="DL20" s="99">
        <v>18.749476547842399</v>
      </c>
      <c r="DM20" s="99">
        <v>18.830090056285201</v>
      </c>
      <c r="DN20" s="99">
        <v>18.910703564727999</v>
      </c>
      <c r="DO20" s="99">
        <v>18.991317073170698</v>
      </c>
      <c r="DP20" s="99">
        <v>19.071930581613501</v>
      </c>
      <c r="DQ20" s="99">
        <v>19.152544090056299</v>
      </c>
      <c r="DR20" s="99">
        <v>19.233157598499101</v>
      </c>
      <c r="DS20" s="99">
        <v>19.3137711069418</v>
      </c>
      <c r="DT20" s="99">
        <v>19.394384615384599</v>
      </c>
      <c r="DU20" s="99">
        <v>19.474998123827401</v>
      </c>
      <c r="DV20" s="99">
        <v>19.5556116322702</v>
      </c>
      <c r="DW20" s="99">
        <v>19.636225140713002</v>
      </c>
      <c r="DX20" s="99">
        <v>19.7168386491558</v>
      </c>
      <c r="DY20" s="99">
        <v>19.797452157598599</v>
      </c>
      <c r="DZ20" s="99">
        <v>19.878065666041302</v>
      </c>
      <c r="EA20" s="99">
        <v>19.9586791744841</v>
      </c>
      <c r="EB20" s="99">
        <v>20.039292682926899</v>
      </c>
      <c r="EC20" s="99">
        <v>20.119906191369701</v>
      </c>
      <c r="ED20" s="99">
        <v>20.2005196998124</v>
      </c>
      <c r="EE20" s="99">
        <v>20.281133208255198</v>
      </c>
      <c r="EF20" s="99">
        <v>20.361746716698001</v>
      </c>
      <c r="EG20" s="99">
        <v>20.442360225140799</v>
      </c>
      <c r="EH20" s="99">
        <v>20.522973733583498</v>
      </c>
      <c r="EI20" s="99">
        <v>20.6035872420263</v>
      </c>
      <c r="EJ20" s="99">
        <v>20.684200750469099</v>
      </c>
      <c r="EK20" s="99">
        <v>20.764814258911901</v>
      </c>
      <c r="EL20" s="99">
        <v>20.8454277673547</v>
      </c>
      <c r="EM20" s="99">
        <v>20.926041275797399</v>
      </c>
      <c r="EN20" s="99">
        <v>21.006654784240201</v>
      </c>
      <c r="EO20" s="99">
        <v>21.087268292683</v>
      </c>
      <c r="EP20" s="99">
        <v>21.167881801125802</v>
      </c>
      <c r="EQ20" s="99">
        <v>21.248495309568501</v>
      </c>
      <c r="ER20" s="99">
        <v>21.329108818011299</v>
      </c>
      <c r="ES20" s="99">
        <v>21.409722326454101</v>
      </c>
      <c r="ET20" s="99">
        <v>21.4903358348969</v>
      </c>
      <c r="EU20" s="99">
        <v>21.570949343339599</v>
      </c>
      <c r="EV20" s="99">
        <v>21.651562851782401</v>
      </c>
      <c r="EW20" s="99">
        <v>21.7321763602252</v>
      </c>
      <c r="EX20" s="99">
        <v>21.812789868667998</v>
      </c>
      <c r="EY20" s="99">
        <v>21.893403377110701</v>
      </c>
      <c r="EZ20" s="99">
        <v>21.9740168855535</v>
      </c>
      <c r="FA20" s="99">
        <v>22.054630393996302</v>
      </c>
      <c r="FB20" s="99">
        <v>22.1352439024391</v>
      </c>
      <c r="FC20" s="99">
        <v>22.215857410881899</v>
      </c>
      <c r="FD20" s="99">
        <v>22.296470919324602</v>
      </c>
      <c r="FE20" s="99">
        <v>22.3770844277674</v>
      </c>
      <c r="FF20" s="99">
        <v>22.457697936210199</v>
      </c>
      <c r="FG20" s="99">
        <v>22.538311444653001</v>
      </c>
      <c r="FH20" s="99">
        <v>22.6189249530957</v>
      </c>
      <c r="FI20" s="99">
        <v>22.699538461538499</v>
      </c>
      <c r="FJ20" s="99">
        <v>22.780151969981301</v>
      </c>
      <c r="FK20" s="99">
        <v>22.860765478424099</v>
      </c>
      <c r="FL20" s="99">
        <v>22.941378986866798</v>
      </c>
      <c r="FM20" s="99">
        <v>23.0219924953096</v>
      </c>
      <c r="FN20" s="99">
        <v>23.102606003752399</v>
      </c>
      <c r="FO20" s="99">
        <v>23.183219512195201</v>
      </c>
      <c r="FP20" s="99">
        <v>23.263833020638</v>
      </c>
      <c r="FQ20" s="99">
        <v>23.344446529080699</v>
      </c>
      <c r="FR20" s="99">
        <v>23.425060037523501</v>
      </c>
      <c r="FS20" s="99">
        <v>23.5056735459663</v>
      </c>
      <c r="FT20" s="99">
        <v>23.586287054409102</v>
      </c>
      <c r="FU20" s="99">
        <v>23.666900562851801</v>
      </c>
      <c r="FV20" s="99">
        <v>23.747514071294599</v>
      </c>
      <c r="FW20" s="99">
        <v>23.828127579737401</v>
      </c>
      <c r="FX20" s="99">
        <v>23.9087410881802</v>
      </c>
      <c r="FY20" s="99">
        <v>23.989354596622899</v>
      </c>
      <c r="FZ20" s="99">
        <v>24.069968105065701</v>
      </c>
      <c r="GA20" s="99">
        <v>24.1505816135085</v>
      </c>
      <c r="GB20" s="99">
        <v>24.231195121951298</v>
      </c>
      <c r="GC20" s="99">
        <v>24.311808630394101</v>
      </c>
      <c r="GD20" s="99">
        <v>24.3924221388368</v>
      </c>
      <c r="GE20" s="99">
        <v>24.473035647279598</v>
      </c>
      <c r="GF20" s="99">
        <v>24.5536491557224</v>
      </c>
      <c r="GG20" s="99">
        <v>24.634262664165199</v>
      </c>
      <c r="GH20" s="99">
        <v>24.714876172607902</v>
      </c>
      <c r="GI20" s="99">
        <v>24.7954896810507</v>
      </c>
      <c r="GJ20" s="99">
        <v>24.876103189493499</v>
      </c>
      <c r="GK20" s="99">
        <v>24.956716697936301</v>
      </c>
      <c r="GL20" s="99">
        <v>25.037330206379</v>
      </c>
      <c r="GM20" s="99">
        <v>25.117943714821799</v>
      </c>
      <c r="GN20" s="99">
        <v>25.198557223264601</v>
      </c>
      <c r="GO20" s="99">
        <v>25.279170731707399</v>
      </c>
      <c r="GP20" s="99">
        <v>25.359784240150201</v>
      </c>
      <c r="GQ20" s="99">
        <v>25.4403977485929</v>
      </c>
      <c r="GR20" s="99">
        <v>25.521011257035699</v>
      </c>
      <c r="GS20" s="99">
        <v>25.601624765478501</v>
      </c>
      <c r="GT20" s="99">
        <v>25.6822382739213</v>
      </c>
      <c r="GU20" s="99">
        <v>25.762851782363999</v>
      </c>
      <c r="GV20" s="99">
        <v>25.843465290806801</v>
      </c>
      <c r="GW20" s="99">
        <v>25.9240787992496</v>
      </c>
      <c r="GX20" s="99">
        <v>26.004692307692402</v>
      </c>
      <c r="GY20" s="99">
        <v>26.085305816135101</v>
      </c>
      <c r="GZ20" s="99">
        <v>26.165919324577899</v>
      </c>
      <c r="HA20" s="99">
        <v>26.246532833020702</v>
      </c>
      <c r="HB20" s="99">
        <v>26.3271463414635</v>
      </c>
      <c r="HC20" s="99">
        <v>26.407759849906199</v>
      </c>
      <c r="HD20" s="99">
        <v>26.488373358349001</v>
      </c>
      <c r="HE20" s="99">
        <v>26.5689868667918</v>
      </c>
      <c r="HF20" s="99">
        <v>26.649600375234598</v>
      </c>
      <c r="HG20" s="99">
        <v>26.730213883677401</v>
      </c>
      <c r="HH20" s="99">
        <v>26.8108273921201</v>
      </c>
      <c r="HI20" s="99">
        <v>26.891440900562898</v>
      </c>
      <c r="HJ20" s="99">
        <v>26.9720544090057</v>
      </c>
      <c r="HK20" s="99">
        <v>27.052667917448499</v>
      </c>
      <c r="HL20" s="99">
        <v>27.133281425891202</v>
      </c>
      <c r="HM20" s="99">
        <v>27.213894934334</v>
      </c>
      <c r="HN20" s="99">
        <v>27.294508442776799</v>
      </c>
      <c r="HO20" s="99">
        <v>27.375121951219601</v>
      </c>
      <c r="HP20" s="99">
        <v>27.4557354596623</v>
      </c>
      <c r="HQ20" s="99">
        <v>27.536348968105099</v>
      </c>
      <c r="HR20" s="99">
        <v>27.616962476547901</v>
      </c>
      <c r="HS20" s="99">
        <v>27.697575984990699</v>
      </c>
      <c r="HT20" s="99">
        <v>27.778189493433501</v>
      </c>
      <c r="HU20" s="99">
        <v>27.858803001876201</v>
      </c>
      <c r="HV20" s="99">
        <v>27.939416510318999</v>
      </c>
      <c r="HW20" s="99">
        <v>28.020030018761801</v>
      </c>
      <c r="HX20" s="99">
        <v>28.1006435272046</v>
      </c>
      <c r="HY20" s="99">
        <v>28.181257035647299</v>
      </c>
      <c r="HZ20" s="99">
        <v>28.261870544090101</v>
      </c>
      <c r="IA20" s="99">
        <v>28.3424840525329</v>
      </c>
      <c r="IB20" s="99">
        <v>28.423097560975702</v>
      </c>
      <c r="IC20" s="99">
        <v>28.503711069418401</v>
      </c>
      <c r="ID20" s="99">
        <v>28.584324577861199</v>
      </c>
      <c r="IE20" s="99">
        <v>28.664938086304002</v>
      </c>
      <c r="IF20" s="99">
        <v>28.7455515947468</v>
      </c>
      <c r="IG20" s="99">
        <v>28.826165103189599</v>
      </c>
      <c r="IH20" s="99">
        <v>28.906778611632301</v>
      </c>
      <c r="II20" s="99">
        <v>28.9873921200751</v>
      </c>
      <c r="IJ20" s="99">
        <v>29.068005628517898</v>
      </c>
      <c r="IK20" s="99">
        <v>29.148619136960701</v>
      </c>
      <c r="IL20" s="99">
        <v>29.2292326454034</v>
      </c>
      <c r="IM20" s="99">
        <v>29.309846153846198</v>
      </c>
      <c r="IN20" s="99">
        <v>29.390459662289</v>
      </c>
      <c r="IO20" s="99">
        <v>29.471073170731799</v>
      </c>
      <c r="IP20" s="99">
        <v>29.551686679174502</v>
      </c>
      <c r="IQ20" s="99">
        <v>29.6323001876173</v>
      </c>
      <c r="IR20" s="99">
        <v>29.712913696060099</v>
      </c>
      <c r="IS20" s="99">
        <v>29.793527204502901</v>
      </c>
      <c r="IT20" s="99">
        <v>29.8741407129457</v>
      </c>
      <c r="IU20" s="99">
        <v>29.954754221388399</v>
      </c>
      <c r="IV20" s="99">
        <v>30.035367729831201</v>
      </c>
      <c r="IW20" s="99">
        <v>30.115981238273999</v>
      </c>
      <c r="IX20" s="99">
        <v>30.196594746716801</v>
      </c>
      <c r="IY20" s="99">
        <v>30.277208255159501</v>
      </c>
      <c r="IZ20" s="99">
        <v>30.357821763602299</v>
      </c>
      <c r="JA20" s="99">
        <v>30.438435272045101</v>
      </c>
      <c r="JB20" s="99">
        <v>30.5190487804879</v>
      </c>
      <c r="JC20" s="99">
        <v>30.599662288930599</v>
      </c>
      <c r="JD20" s="99">
        <v>30.680275797373401</v>
      </c>
      <c r="JE20" s="99">
        <v>30.7608893058162</v>
      </c>
      <c r="JF20" s="99">
        <v>30.841502814259002</v>
      </c>
      <c r="JG20" s="99">
        <v>30.922116322701701</v>
      </c>
      <c r="JH20" s="99">
        <v>31.002729831144499</v>
      </c>
      <c r="JI20" s="99">
        <v>31.083343339587302</v>
      </c>
      <c r="JJ20" s="99">
        <v>31.1639568480301</v>
      </c>
      <c r="JK20" s="99">
        <v>31.244570356472899</v>
      </c>
      <c r="JL20" s="99">
        <v>31.325183864915601</v>
      </c>
      <c r="JM20" s="99">
        <v>31.4057973733584</v>
      </c>
      <c r="JN20" s="99">
        <v>31.486410881801199</v>
      </c>
      <c r="JO20" s="99">
        <v>31.567024390244001</v>
      </c>
      <c r="JP20" s="99">
        <v>31.6476378986867</v>
      </c>
      <c r="JQ20" s="99">
        <v>31.728251407129498</v>
      </c>
      <c r="JR20" s="99">
        <v>31.8088649155723</v>
      </c>
      <c r="JS20" s="99">
        <v>31.889478424015099</v>
      </c>
      <c r="JT20" s="99">
        <v>31.970091932457802</v>
      </c>
      <c r="JU20" s="99">
        <v>32.0507054409006</v>
      </c>
      <c r="JV20" s="99">
        <v>32.131318949343402</v>
      </c>
      <c r="JW20" s="99">
        <v>32.211932457786197</v>
      </c>
      <c r="JX20" s="99">
        <v>32.292545966229</v>
      </c>
      <c r="JY20" s="99">
        <v>32.373159474671702</v>
      </c>
      <c r="JZ20" s="99">
        <v>32.453772983114497</v>
      </c>
      <c r="KA20" s="99">
        <v>32.534386491557299</v>
      </c>
      <c r="KB20" s="99">
        <v>32.615000000000101</v>
      </c>
      <c r="KC20" s="99">
        <v>32.695613508442797</v>
      </c>
      <c r="KD20" s="99">
        <v>32.776227016885599</v>
      </c>
      <c r="KE20" s="99">
        <v>32.856840525328401</v>
      </c>
      <c r="KF20" s="99">
        <v>32.937454033771203</v>
      </c>
      <c r="KG20" s="99">
        <v>33.018067542213899</v>
      </c>
      <c r="KH20" s="99">
        <v>33.098681050656701</v>
      </c>
      <c r="KI20" s="99">
        <v>33.179294559099503</v>
      </c>
      <c r="KJ20" s="99">
        <v>33.259908067542298</v>
      </c>
      <c r="KK20" s="99">
        <v>33.3405215759851</v>
      </c>
      <c r="KL20" s="99">
        <v>33.421135084427803</v>
      </c>
      <c r="KM20" s="99">
        <v>33.501748592870598</v>
      </c>
      <c r="KN20" s="99">
        <v>33.5823621013134</v>
      </c>
      <c r="KO20" s="99">
        <v>33.662975609756202</v>
      </c>
      <c r="KP20" s="99">
        <v>33.743589118198898</v>
      </c>
      <c r="KQ20" s="99">
        <v>33.8242026266417</v>
      </c>
      <c r="KR20" s="99">
        <v>33.904816135084502</v>
      </c>
      <c r="KS20" s="99">
        <v>33.985429643527297</v>
      </c>
      <c r="KT20" s="99">
        <v>34.06604315197</v>
      </c>
      <c r="KU20" s="99">
        <v>34.146656660412802</v>
      </c>
      <c r="KV20" s="99">
        <v>34.227270168855597</v>
      </c>
      <c r="KW20" s="99">
        <v>34.307883677298399</v>
      </c>
      <c r="KX20" s="99">
        <v>34.388497185741201</v>
      </c>
      <c r="KY20" s="99">
        <v>34.469110694183897</v>
      </c>
      <c r="KZ20" s="99">
        <v>34.549724202626699</v>
      </c>
      <c r="LA20" s="99">
        <v>34.630337711069501</v>
      </c>
      <c r="LB20" s="99">
        <v>34.710951219512303</v>
      </c>
      <c r="LC20" s="99">
        <v>34.791564727954999</v>
      </c>
      <c r="LD20" s="99">
        <v>34.872178236397801</v>
      </c>
      <c r="LE20" s="99">
        <v>34.952791744840603</v>
      </c>
      <c r="LF20" s="99">
        <v>35.033405253283398</v>
      </c>
      <c r="LG20" s="99">
        <v>35.114018761726101</v>
      </c>
      <c r="LH20" s="99">
        <v>35.194632270168903</v>
      </c>
      <c r="LI20" s="99">
        <v>35.275245778611698</v>
      </c>
      <c r="LJ20" s="99">
        <v>35.3558592870545</v>
      </c>
      <c r="LK20" s="99">
        <v>35.436472795497203</v>
      </c>
      <c r="LL20" s="99">
        <v>35.517086303939998</v>
      </c>
      <c r="LM20" s="99">
        <v>35.5976998123828</v>
      </c>
      <c r="LN20" s="99">
        <v>35.678313320825602</v>
      </c>
      <c r="LO20" s="99">
        <v>35.758926829268397</v>
      </c>
      <c r="LP20" s="99">
        <v>35.839540337711099</v>
      </c>
      <c r="LQ20" s="99">
        <v>35.920153846153902</v>
      </c>
      <c r="LR20" s="99">
        <v>36.000767354596697</v>
      </c>
      <c r="LS20" s="99">
        <v>36.081380863039499</v>
      </c>
      <c r="LT20" s="99">
        <v>36.161994371482201</v>
      </c>
      <c r="LU20" s="99">
        <v>36.242607879925004</v>
      </c>
      <c r="LV20" s="99">
        <v>36.323221388367799</v>
      </c>
      <c r="LW20" s="99">
        <v>36.403834896810601</v>
      </c>
      <c r="LX20" s="99">
        <v>36.484448405253303</v>
      </c>
      <c r="LY20" s="99">
        <v>36.565061913696098</v>
      </c>
      <c r="LZ20" s="99">
        <v>36.645675422138901</v>
      </c>
      <c r="MA20" s="99">
        <v>36.726288930581703</v>
      </c>
      <c r="MB20" s="99">
        <v>36.806902439024498</v>
      </c>
      <c r="MC20" s="99">
        <v>36.8875159474672</v>
      </c>
      <c r="MD20" s="99">
        <v>36.968129455910002</v>
      </c>
      <c r="ME20" s="99">
        <v>37.048742964352797</v>
      </c>
      <c r="MF20" s="99">
        <v>37.1293564727955</v>
      </c>
      <c r="MG20" s="99">
        <v>37.209969981238302</v>
      </c>
      <c r="MH20" s="99">
        <v>37.290583489681097</v>
      </c>
      <c r="MI20" s="99">
        <v>37.3711969981238</v>
      </c>
      <c r="MJ20" s="99">
        <v>37.451810506566702</v>
      </c>
      <c r="MK20" s="99">
        <v>37.532424015009397</v>
      </c>
      <c r="ML20" s="99">
        <v>37.613037523452199</v>
      </c>
      <c r="MM20" s="99">
        <v>37.693651031895001</v>
      </c>
      <c r="MN20" s="99">
        <v>37.774264540337803</v>
      </c>
      <c r="MO20" s="99">
        <v>37.854878048780598</v>
      </c>
      <c r="MP20" s="99">
        <v>37.935491557223301</v>
      </c>
      <c r="MQ20" s="99">
        <v>38.016105065666103</v>
      </c>
      <c r="MR20" s="99">
        <v>38.096718574108898</v>
      </c>
      <c r="MS20" s="99">
        <v>38.1773320825517</v>
      </c>
      <c r="MT20" s="99">
        <v>38.257945590994403</v>
      </c>
      <c r="MU20" s="99">
        <v>38.338559099437198</v>
      </c>
      <c r="MV20" s="99">
        <v>38.41917260788</v>
      </c>
      <c r="MW20" s="99">
        <v>38.499786116322802</v>
      </c>
      <c r="MX20" s="99">
        <v>38.580399624765498</v>
      </c>
      <c r="MY20" s="99">
        <v>38.6610131332083</v>
      </c>
      <c r="MZ20" s="99">
        <v>38.741626641651102</v>
      </c>
      <c r="NA20" s="99">
        <v>38.822240150093897</v>
      </c>
      <c r="NB20" s="99">
        <v>38.902853658536699</v>
      </c>
      <c r="NC20" s="99">
        <v>38.983467166979402</v>
      </c>
      <c r="ND20" s="99">
        <v>39.064080675422197</v>
      </c>
      <c r="NE20" s="99">
        <v>39.144694183864999</v>
      </c>
      <c r="NF20" s="99">
        <v>39.225307692307801</v>
      </c>
      <c r="NG20" s="99">
        <v>39.305921200750497</v>
      </c>
      <c r="NH20" s="99">
        <v>39.386534709193299</v>
      </c>
      <c r="NI20" s="99">
        <v>39.467148217636101</v>
      </c>
      <c r="NJ20" s="99">
        <v>39.547761726078903</v>
      </c>
      <c r="NK20" s="99">
        <v>39.628375234521599</v>
      </c>
      <c r="NL20" s="99">
        <v>39.708988742964401</v>
      </c>
      <c r="NM20" s="99">
        <v>39.789602251407203</v>
      </c>
      <c r="NN20" s="99">
        <v>39.870215759849998</v>
      </c>
      <c r="NO20" s="99">
        <v>39.950829268292701</v>
      </c>
      <c r="NP20" s="99">
        <v>40.031442776735503</v>
      </c>
      <c r="NQ20" s="99">
        <v>40.112056285178298</v>
      </c>
      <c r="NR20" s="99">
        <v>40.1926697936211</v>
      </c>
      <c r="NS20" s="99">
        <v>40.273283302063902</v>
      </c>
      <c r="NT20" s="99">
        <v>40.353896810506598</v>
      </c>
      <c r="NU20" s="99">
        <v>40.4345103189493</v>
      </c>
      <c r="NV20" s="99">
        <v>40.515123827392202</v>
      </c>
      <c r="NW20" s="99">
        <v>40.595737335834997</v>
      </c>
      <c r="NX20" s="99">
        <v>40.6763508442776</v>
      </c>
      <c r="NY20" s="99">
        <v>40.756964352720502</v>
      </c>
      <c r="NZ20" s="99">
        <v>40.837577861163297</v>
      </c>
      <c r="OA20" s="99">
        <v>40.918191369606099</v>
      </c>
      <c r="OB20" s="99">
        <v>40.998804878048801</v>
      </c>
      <c r="OC20" s="99">
        <v>41.079418386491596</v>
      </c>
      <c r="OD20" s="99">
        <v>41.160031894934399</v>
      </c>
      <c r="OE20" s="99">
        <v>41.240645403377201</v>
      </c>
      <c r="OF20" s="99">
        <v>41.321258911820003</v>
      </c>
      <c r="OG20" s="99">
        <v>41.401872420262698</v>
      </c>
      <c r="OH20" s="99">
        <v>41.482485928705501</v>
      </c>
      <c r="OI20" s="99">
        <v>41.563099437148303</v>
      </c>
      <c r="OJ20" s="99">
        <v>41.643712945591098</v>
      </c>
      <c r="OK20" s="99">
        <v>41.7243264540338</v>
      </c>
      <c r="OL20" s="99">
        <v>41.804939962476602</v>
      </c>
      <c r="OM20" s="99">
        <v>41.885553470919398</v>
      </c>
      <c r="ON20" s="99">
        <v>41.9661669793622</v>
      </c>
      <c r="OO20" s="99">
        <v>42.046780487804902</v>
      </c>
      <c r="OP20" s="99">
        <v>42.127393996247697</v>
      </c>
      <c r="OQ20" s="99">
        <v>42.208007504690499</v>
      </c>
      <c r="OR20" s="99">
        <v>42.288621013133302</v>
      </c>
      <c r="OS20" s="99">
        <v>42.369234521575997</v>
      </c>
      <c r="OT20" s="99">
        <v>42.449848030018799</v>
      </c>
      <c r="OU20" s="99">
        <v>42.530461538461601</v>
      </c>
      <c r="OV20" s="99">
        <v>42.611075046904404</v>
      </c>
      <c r="OW20" s="99">
        <v>42.691688555347199</v>
      </c>
      <c r="OX20" s="99">
        <v>42.772302063789901</v>
      </c>
      <c r="OY20" s="99">
        <v>42.852915572232703</v>
      </c>
      <c r="OZ20" s="99">
        <v>42.933529080675498</v>
      </c>
      <c r="PA20" s="99">
        <v>43.0141425891183</v>
      </c>
      <c r="PB20" s="99">
        <v>43.094756097561003</v>
      </c>
      <c r="PC20" s="99">
        <v>43.175369606003798</v>
      </c>
      <c r="PD20" s="99">
        <v>43.2559831144466</v>
      </c>
      <c r="PE20" s="99">
        <v>43.336596622889402</v>
      </c>
      <c r="PF20" s="99">
        <v>43.417210131332197</v>
      </c>
      <c r="PG20" s="99">
        <v>43.4978236397749</v>
      </c>
      <c r="PH20" s="99">
        <v>43.578437148217702</v>
      </c>
      <c r="PI20" s="99">
        <v>43.659050656660497</v>
      </c>
      <c r="PJ20" s="99">
        <v>43.739664165103299</v>
      </c>
      <c r="PK20" s="99">
        <v>43.820277673546002</v>
      </c>
      <c r="PL20" s="99">
        <v>43.900891181988797</v>
      </c>
      <c r="PM20" s="99">
        <v>43.981504690431599</v>
      </c>
      <c r="PN20" s="99">
        <v>44.062118198874401</v>
      </c>
      <c r="PO20" s="99">
        <v>44.142731707317097</v>
      </c>
      <c r="PP20" s="99">
        <v>44.223345215759899</v>
      </c>
      <c r="PQ20" s="99">
        <v>44.303958724202701</v>
      </c>
      <c r="PR20" s="99">
        <v>44.384572232645503</v>
      </c>
      <c r="PS20" s="99">
        <v>44.465185741088298</v>
      </c>
      <c r="PT20" s="99">
        <v>44.545799249531001</v>
      </c>
      <c r="PU20" s="99">
        <v>44.626412757973803</v>
      </c>
      <c r="PV20" s="99">
        <v>44.707026266416598</v>
      </c>
      <c r="PW20" s="99">
        <v>44.7876397748594</v>
      </c>
      <c r="PX20" s="99">
        <v>44.868253283302103</v>
      </c>
      <c r="PY20" s="99">
        <v>44.948866791744898</v>
      </c>
      <c r="PZ20" s="99">
        <v>45.0294803001877</v>
      </c>
      <c r="QA20" s="99">
        <v>45.110093808630502</v>
      </c>
      <c r="QB20" s="99">
        <v>45.190707317073198</v>
      </c>
      <c r="QC20" s="99">
        <v>45.271320825516</v>
      </c>
      <c r="QD20" s="99">
        <v>45.351934333958802</v>
      </c>
      <c r="QE20" s="99">
        <v>45.432547842401597</v>
      </c>
      <c r="QF20" s="99">
        <v>45.5131613508443</v>
      </c>
      <c r="QG20" s="99">
        <v>45.593774859287102</v>
      </c>
      <c r="QH20" s="99">
        <v>45.674388367729897</v>
      </c>
      <c r="QI20" s="99">
        <v>45.755001876172699</v>
      </c>
      <c r="QJ20" s="99">
        <v>45.835615384615501</v>
      </c>
      <c r="QK20" s="99">
        <v>45.916228893058197</v>
      </c>
      <c r="QL20" s="99">
        <v>45.996842401500999</v>
      </c>
      <c r="QM20" s="99">
        <v>46.077455909943801</v>
      </c>
      <c r="QN20" s="99">
        <v>46.158069418386603</v>
      </c>
      <c r="QO20" s="99">
        <v>46.238682926829298</v>
      </c>
      <c r="QP20" s="99">
        <v>46.319296435272101</v>
      </c>
      <c r="QQ20" s="99">
        <v>46.399909943714903</v>
      </c>
      <c r="QR20" s="99">
        <v>46.480523452157698</v>
      </c>
      <c r="QS20" s="99">
        <v>46.5611369606004</v>
      </c>
      <c r="QT20" s="99">
        <v>46.641750469043203</v>
      </c>
      <c r="QU20" s="99">
        <v>46.722363977485998</v>
      </c>
      <c r="QV20" s="99">
        <v>46.8029774859288</v>
      </c>
      <c r="QW20" s="99">
        <v>46.883590994371602</v>
      </c>
      <c r="QX20" s="99">
        <v>46.964204502814297</v>
      </c>
      <c r="QY20" s="99">
        <v>47.044818011257099</v>
      </c>
      <c r="QZ20" s="99">
        <v>47.125431519699902</v>
      </c>
      <c r="RA20" s="99">
        <v>47.206045028142697</v>
      </c>
      <c r="RB20" s="99">
        <v>47.286658536585399</v>
      </c>
      <c r="RC20" s="99">
        <v>47.367272045028201</v>
      </c>
      <c r="RD20" s="99">
        <v>47.447885553470996</v>
      </c>
      <c r="RE20" s="99">
        <v>47.528499061913799</v>
      </c>
      <c r="RF20" s="99">
        <v>47.609112570356501</v>
      </c>
      <c r="RG20" s="99">
        <v>47.689726078799303</v>
      </c>
      <c r="RH20" s="99">
        <v>47.770339587242098</v>
      </c>
      <c r="RI20" s="99">
        <v>47.850953095684901</v>
      </c>
      <c r="RJ20" s="99">
        <v>47.931566604127603</v>
      </c>
      <c r="RK20" s="99">
        <v>48.012180112570398</v>
      </c>
      <c r="RL20" s="99">
        <v>48.0927936210132</v>
      </c>
      <c r="RM20" s="99">
        <v>48.173407129456002</v>
      </c>
      <c r="RN20" s="99">
        <v>48.254020637898797</v>
      </c>
      <c r="RO20" s="99">
        <v>48.3346341463415</v>
      </c>
      <c r="RP20" s="99">
        <v>48.415247654784302</v>
      </c>
      <c r="RQ20" s="99">
        <v>48.495861163227097</v>
      </c>
      <c r="RR20" s="99">
        <v>48.576474671669899</v>
      </c>
      <c r="RS20" s="99">
        <v>48.657088180112602</v>
      </c>
      <c r="RT20" s="99">
        <v>48.737701688555397</v>
      </c>
      <c r="RU20" s="99">
        <v>48.818315196998199</v>
      </c>
      <c r="RV20" s="99">
        <v>48.898928705441001</v>
      </c>
      <c r="RW20" s="99">
        <v>48.979542213883697</v>
      </c>
      <c r="RX20" s="99">
        <v>49.060155722326499</v>
      </c>
      <c r="RY20" s="99">
        <v>49.140769230769301</v>
      </c>
      <c r="RZ20" s="99">
        <v>49.221382739212103</v>
      </c>
      <c r="SA20" s="99">
        <v>49.301996247654898</v>
      </c>
      <c r="SB20" s="99">
        <v>49.382609756097601</v>
      </c>
      <c r="SC20" s="99">
        <v>49.463223264540403</v>
      </c>
      <c r="SD20" s="99">
        <v>49.543836772983198</v>
      </c>
      <c r="SE20" s="99">
        <v>49.624450281426</v>
      </c>
      <c r="SF20" s="99">
        <v>49.705063789868703</v>
      </c>
      <c r="SG20" s="99">
        <v>49.785677298311498</v>
      </c>
      <c r="SH20" s="99">
        <v>49.8662908067543</v>
      </c>
      <c r="SI20" s="99">
        <v>49.946904315197102</v>
      </c>
      <c r="SJ20" s="99">
        <v>50.027517823639798</v>
      </c>
      <c r="SK20" s="99">
        <v>50.1081313320826</v>
      </c>
      <c r="SL20" s="99">
        <v>50.188744840525402</v>
      </c>
      <c r="SM20" s="99">
        <v>50.269358348968197</v>
      </c>
      <c r="SN20" s="99">
        <v>50.349971857410999</v>
      </c>
      <c r="SO20" s="99">
        <v>50.430585365853702</v>
      </c>
      <c r="SP20" s="99">
        <v>50.511198874296497</v>
      </c>
      <c r="SQ20" s="99">
        <v>50.591812382739299</v>
      </c>
      <c r="SR20" s="99">
        <v>50.672425891182101</v>
      </c>
      <c r="SS20" s="99">
        <v>50.753039399624797</v>
      </c>
      <c r="ST20" s="99">
        <v>50.833652908067599</v>
      </c>
      <c r="SU20" s="99">
        <v>50.914266416510401</v>
      </c>
      <c r="SV20" s="99">
        <v>50.994879924953203</v>
      </c>
      <c r="SW20" s="99">
        <v>51.075493433395899</v>
      </c>
      <c r="SX20" s="99">
        <v>51.156106941838701</v>
      </c>
      <c r="SY20" s="99">
        <v>51.236720450281503</v>
      </c>
      <c r="SZ20" s="99">
        <v>51.317333958724298</v>
      </c>
      <c r="TA20" s="99">
        <v>51.3979474671671</v>
      </c>
      <c r="TB20" s="99">
        <v>51.478560975609803</v>
      </c>
      <c r="TC20" s="99">
        <v>51.559174484052598</v>
      </c>
      <c r="TD20" s="99">
        <v>51.6397879924954</v>
      </c>
      <c r="TE20" s="99">
        <v>51.720401500938202</v>
      </c>
      <c r="TF20" s="99">
        <v>51.801015009380897</v>
      </c>
      <c r="TG20" s="99">
        <v>51.8816285178237</v>
      </c>
      <c r="TH20" s="99">
        <v>51.962242026266502</v>
      </c>
      <c r="TI20" s="99">
        <v>52.042855534709297</v>
      </c>
      <c r="TJ20" s="99">
        <v>52.123469043151999</v>
      </c>
      <c r="TK20" s="99">
        <v>52.204082551594801</v>
      </c>
      <c r="TL20" s="99">
        <v>52.284696060037597</v>
      </c>
      <c r="TM20" s="99">
        <v>52.365309568480399</v>
      </c>
      <c r="TN20" s="99">
        <v>52.445923076923201</v>
      </c>
      <c r="TO20" s="99">
        <v>52.526536585365903</v>
      </c>
      <c r="TP20" s="99">
        <v>52.607150093808698</v>
      </c>
      <c r="TQ20" s="99">
        <v>52.687763602251501</v>
      </c>
      <c r="TR20" s="99">
        <v>52.768377110694303</v>
      </c>
      <c r="TS20" s="99">
        <v>52.848990619136998</v>
      </c>
      <c r="TT20" s="99">
        <v>52.9296041275798</v>
      </c>
      <c r="TU20" s="99">
        <v>53.010217636022603</v>
      </c>
      <c r="TV20" s="99">
        <v>53.090831144465398</v>
      </c>
      <c r="TW20" s="99">
        <v>53.1714446529081</v>
      </c>
      <c r="TX20" s="99">
        <v>53.252058161350902</v>
      </c>
      <c r="TY20" s="99">
        <v>53.332671669793697</v>
      </c>
      <c r="TZ20" s="99">
        <v>53.413285178236499</v>
      </c>
      <c r="UA20" s="99">
        <v>53.493898686679202</v>
      </c>
      <c r="UB20" s="99">
        <v>53.574512195121997</v>
      </c>
      <c r="UC20" s="99">
        <v>53.655125703564799</v>
      </c>
      <c r="UD20" s="99">
        <v>53.735739212007601</v>
      </c>
      <c r="UE20" s="99">
        <v>53.816352720450404</v>
      </c>
      <c r="UF20" s="99">
        <v>53.896966228893099</v>
      </c>
      <c r="UG20" s="99">
        <v>53.977579737335901</v>
      </c>
      <c r="UH20" s="99">
        <v>54.058193245778703</v>
      </c>
      <c r="UI20" s="99">
        <v>54.138806754221498</v>
      </c>
      <c r="UJ20" s="99">
        <v>54.219420262664201</v>
      </c>
      <c r="UK20" s="99">
        <v>54.300033771107003</v>
      </c>
      <c r="UL20" s="99">
        <v>54.380647279549798</v>
      </c>
      <c r="UM20" s="99">
        <v>54.4612607879926</v>
      </c>
      <c r="UN20" s="99">
        <v>54.541874296435303</v>
      </c>
      <c r="UO20" s="99">
        <v>54.622487804878098</v>
      </c>
      <c r="UP20" s="99">
        <v>54.7031013133209</v>
      </c>
      <c r="UQ20" s="99">
        <v>54.783714821763702</v>
      </c>
      <c r="UR20" s="99">
        <v>54.864328330206497</v>
      </c>
      <c r="US20" s="99">
        <v>54.944941838649299</v>
      </c>
      <c r="UT20" s="99">
        <v>55.025555347092002</v>
      </c>
    </row>
    <row r="21" spans="1:566" x14ac:dyDescent="0.2">
      <c r="A21" s="89">
        <v>7.5</v>
      </c>
      <c r="B21" s="90">
        <v>9.44</v>
      </c>
      <c r="C21" s="90">
        <v>9.52</v>
      </c>
      <c r="D21" s="90">
        <v>9.6</v>
      </c>
      <c r="E21" s="90">
        <v>9.68</v>
      </c>
      <c r="F21" s="90">
        <v>9.76</v>
      </c>
      <c r="G21" s="90">
        <v>9.84</v>
      </c>
      <c r="H21" s="90">
        <v>9.92</v>
      </c>
      <c r="I21" s="90">
        <v>10</v>
      </c>
      <c r="J21" s="90">
        <v>10.08</v>
      </c>
      <c r="K21" s="90">
        <v>10.16</v>
      </c>
      <c r="L21" s="90">
        <v>10.24</v>
      </c>
      <c r="M21" s="90">
        <v>10.32</v>
      </c>
      <c r="N21" s="90">
        <v>10.4</v>
      </c>
      <c r="O21" s="90">
        <v>10.48</v>
      </c>
      <c r="P21" s="90">
        <v>10.56</v>
      </c>
      <c r="Q21" s="90">
        <v>10.64</v>
      </c>
      <c r="R21" s="90">
        <v>10.72</v>
      </c>
      <c r="S21" s="90">
        <v>10.8</v>
      </c>
      <c r="T21" s="90">
        <v>10.87</v>
      </c>
      <c r="U21" s="91">
        <v>10.95</v>
      </c>
      <c r="V21" s="90">
        <v>11.03</v>
      </c>
      <c r="W21" s="90">
        <v>11.11</v>
      </c>
      <c r="X21" s="90">
        <v>11.19</v>
      </c>
      <c r="Y21" s="90">
        <v>11.27</v>
      </c>
      <c r="Z21" s="90">
        <v>11.35</v>
      </c>
      <c r="AA21" s="90">
        <v>11.43</v>
      </c>
      <c r="AB21" s="90">
        <v>11.51</v>
      </c>
      <c r="AC21" s="90">
        <v>11.59</v>
      </c>
      <c r="AD21" s="90">
        <v>11.67</v>
      </c>
      <c r="AE21" s="90">
        <v>11.75</v>
      </c>
      <c r="AF21" s="90">
        <v>11.83</v>
      </c>
      <c r="AG21" s="90">
        <v>11.91</v>
      </c>
      <c r="AH21" s="90">
        <v>11.99</v>
      </c>
      <c r="AI21" s="90">
        <v>12.07</v>
      </c>
      <c r="AJ21" s="90">
        <v>12.15</v>
      </c>
      <c r="AK21" s="90">
        <v>12.23</v>
      </c>
      <c r="AL21" s="90">
        <v>12.31</v>
      </c>
      <c r="AM21" s="90">
        <v>12.39</v>
      </c>
      <c r="AN21" s="90">
        <v>12.47</v>
      </c>
      <c r="AO21" s="91">
        <v>12.55</v>
      </c>
      <c r="AP21" s="90">
        <v>12.626884615384601</v>
      </c>
      <c r="AQ21" s="90">
        <v>12.706513133208301</v>
      </c>
      <c r="AR21" s="90">
        <v>12.786141651031899</v>
      </c>
      <c r="AS21" s="90">
        <v>12.8657701688555</v>
      </c>
      <c r="AT21" s="90">
        <v>12.9453986866792</v>
      </c>
      <c r="AU21" s="90">
        <v>13.0250272045028</v>
      </c>
      <c r="AV21" s="90">
        <v>13.1046557223265</v>
      </c>
      <c r="AW21" s="90">
        <v>13.184284240150101</v>
      </c>
      <c r="AX21" s="90">
        <v>13.263912757973699</v>
      </c>
      <c r="AY21" s="90">
        <v>13.343541275797399</v>
      </c>
      <c r="AZ21" s="90">
        <v>13.423169793621</v>
      </c>
      <c r="BA21" s="90">
        <v>13.5027983114447</v>
      </c>
      <c r="BB21" s="90">
        <v>13.5824268292683</v>
      </c>
      <c r="BC21" s="90">
        <v>13.662055347091901</v>
      </c>
      <c r="BD21" s="90">
        <v>13.741683864915601</v>
      </c>
      <c r="BE21" s="90">
        <v>13.821312382739199</v>
      </c>
      <c r="BF21" s="90">
        <v>13.900940900562899</v>
      </c>
      <c r="BG21" s="90">
        <v>13.9805694183865</v>
      </c>
      <c r="BH21" s="90">
        <v>14.0601979362101</v>
      </c>
      <c r="BI21" s="91">
        <v>14.1398264540338</v>
      </c>
      <c r="BJ21" s="90">
        <v>14.219454971857401</v>
      </c>
      <c r="BK21" s="99">
        <v>14.299083489681101</v>
      </c>
      <c r="BL21" s="99">
        <v>14.378712007504699</v>
      </c>
      <c r="BM21" s="99">
        <v>14.4583405253283</v>
      </c>
      <c r="BN21" s="99">
        <v>14.537969043152</v>
      </c>
      <c r="BO21" s="99">
        <v>14.6175975609756</v>
      </c>
      <c r="BP21" s="99">
        <v>14.6972260787993</v>
      </c>
      <c r="BQ21" s="99">
        <v>14.776854596622901</v>
      </c>
      <c r="BR21" s="99">
        <v>14.856483114446499</v>
      </c>
      <c r="BS21" s="99">
        <v>14.936111632270199</v>
      </c>
      <c r="BT21" s="99">
        <v>15.0157401500938</v>
      </c>
      <c r="BU21" s="99">
        <v>15.0953686679175</v>
      </c>
      <c r="BV21" s="99">
        <v>15.1749971857411</v>
      </c>
      <c r="BW21" s="99">
        <v>15.254625703564701</v>
      </c>
      <c r="BX21" s="99">
        <v>15.334254221388401</v>
      </c>
      <c r="BY21" s="99">
        <v>15.413882739211999</v>
      </c>
      <c r="BZ21" s="99">
        <v>15.493511257035699</v>
      </c>
      <c r="CA21" s="99">
        <v>15.5731397748593</v>
      </c>
      <c r="CB21" s="99">
        <v>15.6527682926829</v>
      </c>
      <c r="CC21" s="99">
        <v>15.7323968105066</v>
      </c>
      <c r="CD21" s="99">
        <v>15.812025328330201</v>
      </c>
      <c r="CE21" s="99">
        <v>15.891653846153901</v>
      </c>
      <c r="CF21" s="99">
        <v>15.971282363977499</v>
      </c>
      <c r="CG21" s="99">
        <v>16.050910881801101</v>
      </c>
      <c r="CH21" s="99">
        <v>16.130539399624801</v>
      </c>
      <c r="CI21" s="99">
        <v>16.210167917448398</v>
      </c>
      <c r="CJ21" s="99">
        <v>16.289796435271999</v>
      </c>
      <c r="CK21" s="99">
        <v>16.369424953095699</v>
      </c>
      <c r="CL21" s="99">
        <v>16.449053470919299</v>
      </c>
      <c r="CM21" s="99">
        <v>16.528681988742999</v>
      </c>
      <c r="CN21" s="99">
        <v>16.6083105065666</v>
      </c>
      <c r="CO21" s="99">
        <v>16.6879390243902</v>
      </c>
      <c r="CP21" s="99">
        <v>16.7675675422139</v>
      </c>
      <c r="CQ21" s="99">
        <v>16.847196060037501</v>
      </c>
      <c r="CR21" s="99">
        <v>16.926824577861201</v>
      </c>
      <c r="CS21" s="99">
        <v>17.006453095684801</v>
      </c>
      <c r="CT21" s="99">
        <v>17.086081613508401</v>
      </c>
      <c r="CU21" s="99">
        <v>17.165710131332101</v>
      </c>
      <c r="CV21" s="99">
        <v>17.245338649155698</v>
      </c>
      <c r="CW21" s="99">
        <v>17.324967166979398</v>
      </c>
      <c r="CX21" s="99">
        <v>17.404595684802999</v>
      </c>
      <c r="CY21" s="99">
        <v>17.484224202626599</v>
      </c>
      <c r="CZ21" s="99">
        <v>17.563852720450299</v>
      </c>
      <c r="DA21" s="99">
        <v>17.6434812382739</v>
      </c>
      <c r="DB21" s="99">
        <v>17.7231097560976</v>
      </c>
      <c r="DC21" s="99">
        <v>17.8027382739212</v>
      </c>
      <c r="DD21" s="99">
        <v>17.882366791744801</v>
      </c>
      <c r="DE21" s="99">
        <v>17.961995309568501</v>
      </c>
      <c r="DF21" s="99">
        <v>18.041623827392101</v>
      </c>
      <c r="DG21" s="99">
        <v>18.121252345215801</v>
      </c>
      <c r="DH21" s="99">
        <v>18.200880863039401</v>
      </c>
      <c r="DI21" s="99">
        <v>18.280509380862998</v>
      </c>
      <c r="DJ21" s="99">
        <v>18.360137898686698</v>
      </c>
      <c r="DK21" s="99">
        <v>18.439766416510299</v>
      </c>
      <c r="DL21" s="99">
        <v>18.519394934333999</v>
      </c>
      <c r="DM21" s="99">
        <v>18.599023452157599</v>
      </c>
      <c r="DN21" s="99">
        <v>18.6786519699812</v>
      </c>
      <c r="DO21" s="99">
        <v>18.7582804878049</v>
      </c>
      <c r="DP21" s="99">
        <v>18.8379090056285</v>
      </c>
      <c r="DQ21" s="99">
        <v>18.9175375234522</v>
      </c>
      <c r="DR21" s="99">
        <v>18.997166041275801</v>
      </c>
      <c r="DS21" s="99">
        <v>19.076794559099401</v>
      </c>
      <c r="DT21" s="99">
        <v>19.156423076923101</v>
      </c>
      <c r="DU21" s="99">
        <v>19.236051594746701</v>
      </c>
      <c r="DV21" s="99">
        <v>19.315680112570401</v>
      </c>
      <c r="DW21" s="99">
        <v>19.395308630393998</v>
      </c>
      <c r="DX21" s="99">
        <v>19.474937148217599</v>
      </c>
      <c r="DY21" s="99">
        <v>19.554565666041299</v>
      </c>
      <c r="DZ21" s="99">
        <v>19.634194183864899</v>
      </c>
      <c r="EA21" s="99">
        <v>19.7138227016885</v>
      </c>
      <c r="EB21" s="99">
        <v>19.7934512195122</v>
      </c>
      <c r="EC21" s="99">
        <v>19.8730797373358</v>
      </c>
      <c r="ED21" s="99">
        <v>19.9527082551595</v>
      </c>
      <c r="EE21" s="99">
        <v>20.032336772983101</v>
      </c>
      <c r="EF21" s="99">
        <v>20.111965290806701</v>
      </c>
      <c r="EG21" s="99">
        <v>20.191593808630401</v>
      </c>
      <c r="EH21" s="99">
        <v>20.271222326454001</v>
      </c>
      <c r="EI21" s="99">
        <v>20.350850844277701</v>
      </c>
      <c r="EJ21" s="99">
        <v>20.430479362101298</v>
      </c>
      <c r="EK21" s="99">
        <v>20.510107879924899</v>
      </c>
      <c r="EL21" s="99">
        <v>20.589736397748599</v>
      </c>
      <c r="EM21" s="99">
        <v>20.669364915572199</v>
      </c>
      <c r="EN21" s="99">
        <v>20.748993433395899</v>
      </c>
      <c r="EO21" s="99">
        <v>20.8286219512195</v>
      </c>
      <c r="EP21" s="99">
        <v>20.9082504690431</v>
      </c>
      <c r="EQ21" s="99">
        <v>20.9878789868668</v>
      </c>
      <c r="ER21" s="99">
        <v>21.067507504690401</v>
      </c>
      <c r="ES21" s="99">
        <v>21.147136022514101</v>
      </c>
      <c r="ET21" s="99">
        <v>21.226764540337701</v>
      </c>
      <c r="EU21" s="99">
        <v>21.306393058161301</v>
      </c>
      <c r="EV21" s="99">
        <v>21.386021575985001</v>
      </c>
      <c r="EW21" s="99">
        <v>21.465650093808598</v>
      </c>
      <c r="EX21" s="99">
        <v>21.545278611632298</v>
      </c>
      <c r="EY21" s="99">
        <v>21.624907129455899</v>
      </c>
      <c r="EZ21" s="99">
        <v>21.704535647279499</v>
      </c>
      <c r="FA21" s="99">
        <v>21.784164165103199</v>
      </c>
      <c r="FB21" s="99">
        <v>21.8637926829268</v>
      </c>
      <c r="FC21" s="99">
        <v>21.9434212007505</v>
      </c>
      <c r="FD21" s="99">
        <v>22.0230497185741</v>
      </c>
      <c r="FE21" s="99">
        <v>22.102678236397701</v>
      </c>
      <c r="FF21" s="99">
        <v>22.182306754221401</v>
      </c>
      <c r="FG21" s="99">
        <v>22.261935272045001</v>
      </c>
      <c r="FH21" s="99">
        <v>22.341563789868701</v>
      </c>
      <c r="FI21" s="99">
        <v>22.421192307692301</v>
      </c>
      <c r="FJ21" s="99">
        <v>22.500820825515898</v>
      </c>
      <c r="FK21" s="99">
        <v>22.580449343339598</v>
      </c>
      <c r="FL21" s="99">
        <v>22.660077861163199</v>
      </c>
      <c r="FM21" s="99">
        <v>22.739706378986899</v>
      </c>
      <c r="FN21" s="99">
        <v>22.819334896810499</v>
      </c>
      <c r="FO21" s="99">
        <v>22.8989634146341</v>
      </c>
      <c r="FP21" s="99">
        <v>22.9785919324578</v>
      </c>
      <c r="FQ21" s="99">
        <v>23.0582204502814</v>
      </c>
      <c r="FR21" s="99">
        <v>23.137848968105001</v>
      </c>
      <c r="FS21" s="99">
        <v>23.217477485928701</v>
      </c>
      <c r="FT21" s="99">
        <v>23.297106003752301</v>
      </c>
      <c r="FU21" s="99">
        <v>23.376734521576001</v>
      </c>
      <c r="FV21" s="99">
        <v>23.456363039399601</v>
      </c>
      <c r="FW21" s="99">
        <v>23.535991557223198</v>
      </c>
      <c r="FX21" s="99">
        <v>23.615620075046898</v>
      </c>
      <c r="FY21" s="99">
        <v>23.695248592870499</v>
      </c>
      <c r="FZ21" s="99">
        <v>23.774877110694199</v>
      </c>
      <c r="GA21" s="99">
        <v>23.854505628517799</v>
      </c>
      <c r="GB21" s="99">
        <v>23.9341341463414</v>
      </c>
      <c r="GC21" s="99">
        <v>24.0137626641651</v>
      </c>
      <c r="GD21" s="99">
        <v>24.0933911819887</v>
      </c>
      <c r="GE21" s="99">
        <v>24.1730196998124</v>
      </c>
      <c r="GF21" s="99">
        <v>24.252648217636001</v>
      </c>
      <c r="GG21" s="99">
        <v>24.332276735459601</v>
      </c>
      <c r="GH21" s="99">
        <v>24.411905253283301</v>
      </c>
      <c r="GI21" s="99">
        <v>24.491533771106901</v>
      </c>
      <c r="GJ21" s="99">
        <v>24.571162288930601</v>
      </c>
      <c r="GK21" s="99">
        <v>24.650790806754198</v>
      </c>
      <c r="GL21" s="99">
        <v>24.730419324577799</v>
      </c>
      <c r="GM21" s="99">
        <v>24.810047842401499</v>
      </c>
      <c r="GN21" s="99">
        <v>24.889676360225099</v>
      </c>
      <c r="GO21" s="99">
        <v>24.969304878048799</v>
      </c>
      <c r="GP21" s="99">
        <v>25.0489333958724</v>
      </c>
      <c r="GQ21" s="99">
        <v>25.128561913696</v>
      </c>
      <c r="GR21" s="99">
        <v>25.2081904315197</v>
      </c>
      <c r="GS21" s="99">
        <v>25.287818949343301</v>
      </c>
      <c r="GT21" s="99">
        <v>25.367447467167</v>
      </c>
      <c r="GU21" s="99">
        <v>25.447075984990601</v>
      </c>
      <c r="GV21" s="99">
        <v>25.526704502814201</v>
      </c>
      <c r="GW21" s="99">
        <v>25.606333020637901</v>
      </c>
      <c r="GX21" s="99">
        <v>25.685961538461498</v>
      </c>
      <c r="GY21" s="99">
        <v>25.765590056285198</v>
      </c>
      <c r="GZ21" s="99">
        <v>25.845218574108799</v>
      </c>
      <c r="HA21" s="99">
        <v>25.924847091932399</v>
      </c>
      <c r="HB21" s="99">
        <v>26.004475609756099</v>
      </c>
      <c r="HC21" s="99">
        <v>26.0841041275797</v>
      </c>
      <c r="HD21" s="99">
        <v>26.1637326454034</v>
      </c>
      <c r="HE21" s="99">
        <v>26.243361163227</v>
      </c>
      <c r="HF21" s="99">
        <v>26.322989681050601</v>
      </c>
      <c r="HG21" s="99">
        <v>26.402618198874301</v>
      </c>
      <c r="HH21" s="99">
        <v>26.482246716697901</v>
      </c>
      <c r="HI21" s="99">
        <v>26.561875234521601</v>
      </c>
      <c r="HJ21" s="99">
        <v>26.641503752345201</v>
      </c>
      <c r="HK21" s="99">
        <v>26.721132270168798</v>
      </c>
      <c r="HL21" s="99">
        <v>26.800760787992498</v>
      </c>
      <c r="HM21" s="99">
        <v>26.880389305816099</v>
      </c>
      <c r="HN21" s="99">
        <v>26.960017823639799</v>
      </c>
      <c r="HO21" s="99">
        <v>27.039646341463399</v>
      </c>
      <c r="HP21" s="99">
        <v>27.119274859287</v>
      </c>
      <c r="HQ21" s="99">
        <v>27.1989033771107</v>
      </c>
      <c r="HR21" s="99">
        <v>27.2785318949343</v>
      </c>
      <c r="HS21" s="99">
        <v>27.358160412758</v>
      </c>
      <c r="HT21" s="99">
        <v>27.437788930581601</v>
      </c>
      <c r="HU21" s="99">
        <v>27.517417448405201</v>
      </c>
      <c r="HV21" s="99">
        <v>27.597045966228901</v>
      </c>
      <c r="HW21" s="99">
        <v>27.676674484052501</v>
      </c>
      <c r="HX21" s="99">
        <v>27.756303001876201</v>
      </c>
      <c r="HY21" s="99">
        <v>27.835931519699798</v>
      </c>
      <c r="HZ21" s="99">
        <v>27.915560037523399</v>
      </c>
      <c r="IA21" s="99">
        <v>27.995188555347099</v>
      </c>
      <c r="IB21" s="99">
        <v>28.074817073170699</v>
      </c>
      <c r="IC21" s="99">
        <v>28.154445590994399</v>
      </c>
      <c r="ID21" s="99">
        <v>28.234074108818</v>
      </c>
      <c r="IE21" s="99">
        <v>28.3137026266416</v>
      </c>
      <c r="IF21" s="99">
        <v>28.3933311444653</v>
      </c>
      <c r="IG21" s="99">
        <v>28.472959662288901</v>
      </c>
      <c r="IH21" s="99">
        <v>28.5525881801126</v>
      </c>
      <c r="II21" s="99">
        <v>28.632216697936201</v>
      </c>
      <c r="IJ21" s="99">
        <v>28.711845215759801</v>
      </c>
      <c r="IK21" s="99">
        <v>28.791473733583501</v>
      </c>
      <c r="IL21" s="99">
        <v>28.871102251407098</v>
      </c>
      <c r="IM21" s="99">
        <v>28.950730769230798</v>
      </c>
      <c r="IN21" s="99">
        <v>29.030359287054399</v>
      </c>
      <c r="IO21" s="99">
        <v>29.109987804877999</v>
      </c>
      <c r="IP21" s="99">
        <v>29.189616322701699</v>
      </c>
      <c r="IQ21" s="99">
        <v>29.2692448405253</v>
      </c>
      <c r="IR21" s="99">
        <v>29.348873358349</v>
      </c>
      <c r="IS21" s="99">
        <v>29.4285018761726</v>
      </c>
      <c r="IT21" s="99">
        <v>29.508130393996201</v>
      </c>
      <c r="IU21" s="99">
        <v>29.5877589118199</v>
      </c>
      <c r="IV21" s="99">
        <v>29.667387429643501</v>
      </c>
      <c r="IW21" s="99">
        <v>29.747015947467201</v>
      </c>
      <c r="IX21" s="99">
        <v>29.826644465290801</v>
      </c>
      <c r="IY21" s="99">
        <v>29.906272983114398</v>
      </c>
      <c r="IZ21" s="99">
        <v>29.985901500938098</v>
      </c>
      <c r="JA21" s="99">
        <v>30.065530018761699</v>
      </c>
      <c r="JB21" s="99">
        <v>30.145158536585399</v>
      </c>
      <c r="JC21" s="99">
        <v>30.224787054408999</v>
      </c>
      <c r="JD21" s="99">
        <v>30.3044155722326</v>
      </c>
      <c r="JE21" s="99">
        <v>30.3840440900563</v>
      </c>
      <c r="JF21" s="99">
        <v>30.4636726078799</v>
      </c>
      <c r="JG21" s="99">
        <v>30.5433011257036</v>
      </c>
      <c r="JH21" s="99">
        <v>30.6229296435272</v>
      </c>
      <c r="JI21" s="99">
        <v>30.702558161350801</v>
      </c>
      <c r="JJ21" s="99">
        <v>30.782186679174501</v>
      </c>
      <c r="JK21" s="99">
        <v>30.861815196998101</v>
      </c>
      <c r="JL21" s="99">
        <v>30.941443714821801</v>
      </c>
      <c r="JM21" s="99">
        <v>31.021072232645398</v>
      </c>
      <c r="JN21" s="99">
        <v>31.100700750468999</v>
      </c>
      <c r="JO21" s="99">
        <v>31.180329268292699</v>
      </c>
      <c r="JP21" s="99">
        <v>31.259957786116299</v>
      </c>
      <c r="JQ21" s="99">
        <v>31.3395863039399</v>
      </c>
      <c r="JR21" s="99">
        <v>31.4192148217636</v>
      </c>
      <c r="JS21" s="99">
        <v>31.4988433395872</v>
      </c>
      <c r="JT21" s="99">
        <v>31.5784718574109</v>
      </c>
      <c r="JU21" s="99">
        <v>31.6581003752345</v>
      </c>
      <c r="JV21" s="99">
        <v>31.7377288930582</v>
      </c>
      <c r="JW21" s="99">
        <v>31.817357410881801</v>
      </c>
      <c r="JX21" s="99">
        <v>31.896985928705401</v>
      </c>
      <c r="JY21" s="99">
        <v>31.976614446529101</v>
      </c>
      <c r="JZ21" s="99">
        <v>32.056242964352698</v>
      </c>
      <c r="KA21" s="99">
        <v>32.135871482176299</v>
      </c>
      <c r="KB21" s="99">
        <v>32.215499999999999</v>
      </c>
      <c r="KC21" s="99">
        <v>32.295128517823599</v>
      </c>
      <c r="KD21" s="99">
        <v>32.374757035647299</v>
      </c>
      <c r="KE21" s="99">
        <v>32.4543855534709</v>
      </c>
      <c r="KF21" s="99">
        <v>32.5340140712945</v>
      </c>
      <c r="KG21" s="99">
        <v>32.6136425891182</v>
      </c>
      <c r="KH21" s="99">
        <v>32.6932711069418</v>
      </c>
      <c r="KI21" s="99">
        <v>32.7728996247655</v>
      </c>
      <c r="KJ21" s="99">
        <v>32.852528142589101</v>
      </c>
      <c r="KK21" s="99">
        <v>32.932156660412701</v>
      </c>
      <c r="KL21" s="99">
        <v>33.011785178236401</v>
      </c>
      <c r="KM21" s="99">
        <v>33.091413696060002</v>
      </c>
      <c r="KN21" s="99">
        <v>33.171042213883702</v>
      </c>
      <c r="KO21" s="99">
        <v>33.250670731707302</v>
      </c>
      <c r="KP21" s="99">
        <v>33.330299249530903</v>
      </c>
      <c r="KQ21" s="99">
        <v>33.409927767354603</v>
      </c>
      <c r="KR21" s="99">
        <v>33.489556285178203</v>
      </c>
      <c r="KS21" s="99">
        <v>33.569184803001903</v>
      </c>
      <c r="KT21" s="99">
        <v>33.648813320825496</v>
      </c>
      <c r="KU21" s="99">
        <v>33.728441838649097</v>
      </c>
      <c r="KV21" s="99">
        <v>33.808070356472797</v>
      </c>
      <c r="KW21" s="99">
        <v>33.887698874296397</v>
      </c>
      <c r="KX21" s="99">
        <v>33.967327392120097</v>
      </c>
      <c r="KY21" s="99">
        <v>34.046955909943698</v>
      </c>
      <c r="KZ21" s="99">
        <v>34.126584427767298</v>
      </c>
      <c r="LA21" s="99">
        <v>34.206212945590998</v>
      </c>
      <c r="LB21" s="99">
        <v>34.285841463414599</v>
      </c>
      <c r="LC21" s="99">
        <v>34.365469981238299</v>
      </c>
      <c r="LD21" s="99">
        <v>34.445098499061899</v>
      </c>
      <c r="LE21" s="99">
        <v>34.5247270168855</v>
      </c>
      <c r="LF21" s="99">
        <v>34.6043555347092</v>
      </c>
      <c r="LG21" s="99">
        <v>34.6839840525328</v>
      </c>
      <c r="LH21" s="99">
        <v>34.7636125703565</v>
      </c>
      <c r="LI21" s="99">
        <v>34.8432410881801</v>
      </c>
      <c r="LJ21" s="99">
        <v>34.922869606003701</v>
      </c>
      <c r="LK21" s="99">
        <v>35.002498123827401</v>
      </c>
      <c r="LL21" s="99">
        <v>35.082126641651001</v>
      </c>
      <c r="LM21" s="99">
        <v>35.161755159474701</v>
      </c>
      <c r="LN21" s="99">
        <v>35.241383677298302</v>
      </c>
      <c r="LO21" s="99">
        <v>35.321012195121902</v>
      </c>
      <c r="LP21" s="99">
        <v>35.400640712945602</v>
      </c>
      <c r="LQ21" s="99">
        <v>35.480269230769203</v>
      </c>
      <c r="LR21" s="99">
        <v>35.559897748592903</v>
      </c>
      <c r="LS21" s="99">
        <v>35.639526266416503</v>
      </c>
      <c r="LT21" s="99">
        <v>35.719154784240096</v>
      </c>
      <c r="LU21" s="99">
        <v>35.798783302063804</v>
      </c>
      <c r="LV21" s="99">
        <v>35.878411819887397</v>
      </c>
      <c r="LW21" s="99">
        <v>35.958040337711097</v>
      </c>
      <c r="LX21" s="99">
        <v>36.037668855534697</v>
      </c>
      <c r="LY21" s="99">
        <v>36.117297373358298</v>
      </c>
      <c r="LZ21" s="99">
        <v>36.196925891181998</v>
      </c>
      <c r="MA21" s="99">
        <v>36.276554409005598</v>
      </c>
      <c r="MB21" s="99">
        <v>36.356182926829298</v>
      </c>
      <c r="MC21" s="99">
        <v>36.435811444652899</v>
      </c>
      <c r="MD21" s="99">
        <v>36.515439962476499</v>
      </c>
      <c r="ME21" s="99">
        <v>36.595068480300199</v>
      </c>
      <c r="MF21" s="99">
        <v>36.6746969981238</v>
      </c>
      <c r="MG21" s="99">
        <v>36.7543255159475</v>
      </c>
      <c r="MH21" s="99">
        <v>36.8339540337711</v>
      </c>
      <c r="MI21" s="99">
        <v>36.9135825515947</v>
      </c>
      <c r="MJ21" s="99">
        <v>36.9932110694184</v>
      </c>
      <c r="MK21" s="99">
        <v>37.072839587242001</v>
      </c>
      <c r="ML21" s="99">
        <v>37.152468105065701</v>
      </c>
      <c r="MM21" s="99">
        <v>37.232096622889301</v>
      </c>
      <c r="MN21" s="99">
        <v>37.311725140712902</v>
      </c>
      <c r="MO21" s="99">
        <v>37.391353658536602</v>
      </c>
      <c r="MP21" s="99">
        <v>37.470982176360202</v>
      </c>
      <c r="MQ21" s="99">
        <v>37.550610694183902</v>
      </c>
      <c r="MR21" s="99">
        <v>37.630239212007503</v>
      </c>
      <c r="MS21" s="99">
        <v>37.709867729831103</v>
      </c>
      <c r="MT21" s="99">
        <v>37.789496247654803</v>
      </c>
      <c r="MU21" s="99">
        <v>37.869124765478396</v>
      </c>
      <c r="MV21" s="99">
        <v>37.948753283302104</v>
      </c>
      <c r="MW21" s="99">
        <v>38.028381801125697</v>
      </c>
      <c r="MX21" s="99">
        <v>38.108010318949297</v>
      </c>
      <c r="MY21" s="99">
        <v>38.187638836772997</v>
      </c>
      <c r="MZ21" s="99">
        <v>38.267267354596598</v>
      </c>
      <c r="NA21" s="99">
        <v>38.346895872420298</v>
      </c>
      <c r="NB21" s="99">
        <v>38.426524390243898</v>
      </c>
      <c r="NC21" s="99">
        <v>38.506152908067499</v>
      </c>
      <c r="ND21" s="99">
        <v>38.585781425891199</v>
      </c>
      <c r="NE21" s="99">
        <v>38.665409943714799</v>
      </c>
      <c r="NF21" s="99">
        <v>38.745038461538499</v>
      </c>
      <c r="NG21" s="99">
        <v>38.8246669793621</v>
      </c>
      <c r="NH21" s="99">
        <v>38.9042954971857</v>
      </c>
      <c r="NI21" s="99">
        <v>38.9839240150094</v>
      </c>
      <c r="NJ21" s="99">
        <v>39.063552532833</v>
      </c>
      <c r="NK21" s="99">
        <v>39.1431810506567</v>
      </c>
      <c r="NL21" s="99">
        <v>39.222809568480301</v>
      </c>
      <c r="NM21" s="99">
        <v>39.302438086303901</v>
      </c>
      <c r="NN21" s="99">
        <v>39.382066604127601</v>
      </c>
      <c r="NO21" s="99">
        <v>39.461695121951202</v>
      </c>
      <c r="NP21" s="99">
        <v>39.541323639774902</v>
      </c>
      <c r="NQ21" s="99">
        <v>39.620952157598502</v>
      </c>
      <c r="NR21" s="99">
        <v>39.700580675422103</v>
      </c>
      <c r="NS21" s="99">
        <v>39.780209193245803</v>
      </c>
      <c r="NT21" s="99">
        <v>39.859837711069403</v>
      </c>
      <c r="NU21" s="99">
        <v>39.939466228892996</v>
      </c>
      <c r="NV21" s="99">
        <v>40.019094746716704</v>
      </c>
      <c r="NW21" s="99">
        <v>40.098723264540297</v>
      </c>
      <c r="NX21" s="99">
        <v>40.178351782363997</v>
      </c>
      <c r="NY21" s="99">
        <v>40.257980300187597</v>
      </c>
      <c r="NZ21" s="99">
        <v>40.337608818011297</v>
      </c>
      <c r="OA21" s="99">
        <v>40.417237335834898</v>
      </c>
      <c r="OB21" s="99">
        <v>40.496865853658498</v>
      </c>
      <c r="OC21" s="99">
        <v>40.576494371482198</v>
      </c>
      <c r="OD21" s="99">
        <v>40.656122889305799</v>
      </c>
      <c r="OE21" s="99">
        <v>40.735751407129399</v>
      </c>
      <c r="OF21" s="99">
        <v>40.815379924953099</v>
      </c>
      <c r="OG21" s="99">
        <v>40.8950084427767</v>
      </c>
      <c r="OH21" s="99">
        <v>40.9746369606004</v>
      </c>
      <c r="OI21" s="99">
        <v>41.054265478424</v>
      </c>
      <c r="OJ21" s="99">
        <v>41.1338939962476</v>
      </c>
      <c r="OK21" s="99">
        <v>41.2135225140713</v>
      </c>
      <c r="OL21" s="99">
        <v>41.293151031894901</v>
      </c>
      <c r="OM21" s="99">
        <v>41.372779549718601</v>
      </c>
      <c r="ON21" s="99">
        <v>41.452408067542201</v>
      </c>
      <c r="OO21" s="99">
        <v>41.532036585365802</v>
      </c>
      <c r="OP21" s="99">
        <v>41.611665103189502</v>
      </c>
      <c r="OQ21" s="99">
        <v>41.691293621013102</v>
      </c>
      <c r="OR21" s="99">
        <v>41.770922138836802</v>
      </c>
      <c r="OS21" s="99">
        <v>41.850550656660403</v>
      </c>
      <c r="OT21" s="99">
        <v>41.930179174484003</v>
      </c>
      <c r="OU21" s="99">
        <v>42.009807692307703</v>
      </c>
      <c r="OV21" s="99">
        <v>42.089436210131304</v>
      </c>
      <c r="OW21" s="99">
        <v>42.169064727955003</v>
      </c>
      <c r="OX21" s="99">
        <v>42.248693245778597</v>
      </c>
      <c r="OY21" s="99">
        <v>42.328321763602197</v>
      </c>
      <c r="OZ21" s="99">
        <v>42.407950281425897</v>
      </c>
      <c r="PA21" s="99">
        <v>42.487578799249498</v>
      </c>
      <c r="PB21" s="99">
        <v>42.567207317073198</v>
      </c>
      <c r="PC21" s="99">
        <v>42.646835834896798</v>
      </c>
      <c r="PD21" s="99">
        <v>42.726464352720399</v>
      </c>
      <c r="PE21" s="99">
        <v>42.806092870544099</v>
      </c>
      <c r="PF21" s="99">
        <v>42.885721388367699</v>
      </c>
      <c r="PG21" s="99">
        <v>42.965349906191399</v>
      </c>
      <c r="PH21" s="99">
        <v>43.044978424015</v>
      </c>
      <c r="PI21" s="99">
        <v>43.1246069418386</v>
      </c>
      <c r="PJ21" s="99">
        <v>43.2042354596623</v>
      </c>
      <c r="PK21" s="99">
        <v>43.2838639774859</v>
      </c>
      <c r="PL21" s="99">
        <v>43.3634924953096</v>
      </c>
      <c r="PM21" s="99">
        <v>43.443121013133201</v>
      </c>
      <c r="PN21" s="99">
        <v>43.522749530956801</v>
      </c>
      <c r="PO21" s="99">
        <v>43.602378048780501</v>
      </c>
      <c r="PP21" s="99">
        <v>43.682006566604102</v>
      </c>
      <c r="PQ21" s="99">
        <v>43.761635084427802</v>
      </c>
      <c r="PR21" s="99">
        <v>43.841263602251402</v>
      </c>
      <c r="PS21" s="99">
        <v>43.920892120075003</v>
      </c>
      <c r="PT21" s="99">
        <v>44.000520637898703</v>
      </c>
      <c r="PU21" s="99">
        <v>44.080149155722303</v>
      </c>
      <c r="PV21" s="99">
        <v>44.159777673546003</v>
      </c>
      <c r="PW21" s="99">
        <v>44.239406191369604</v>
      </c>
      <c r="PX21" s="99">
        <v>44.319034709193197</v>
      </c>
      <c r="PY21" s="99">
        <v>44.398663227016897</v>
      </c>
      <c r="PZ21" s="99">
        <v>44.478291744840497</v>
      </c>
      <c r="QA21" s="99">
        <v>44.557920262664197</v>
      </c>
      <c r="QB21" s="99">
        <v>44.637548780487798</v>
      </c>
      <c r="QC21" s="99">
        <v>44.717177298311398</v>
      </c>
      <c r="QD21" s="99">
        <v>44.796805816135098</v>
      </c>
      <c r="QE21" s="99">
        <v>44.876434333958699</v>
      </c>
      <c r="QF21" s="99">
        <v>44.956062851782399</v>
      </c>
      <c r="QG21" s="99">
        <v>45.035691369605999</v>
      </c>
      <c r="QH21" s="99">
        <v>45.1153198874296</v>
      </c>
      <c r="QI21" s="99">
        <v>45.194948405253299</v>
      </c>
      <c r="QJ21" s="99">
        <v>45.2745769230769</v>
      </c>
      <c r="QK21" s="99">
        <v>45.3542054409006</v>
      </c>
      <c r="QL21" s="99">
        <v>45.4338339587242</v>
      </c>
      <c r="QM21" s="99">
        <v>45.513462476547801</v>
      </c>
      <c r="QN21" s="99">
        <v>45.593090994371501</v>
      </c>
      <c r="QO21" s="99">
        <v>45.672719512195101</v>
      </c>
      <c r="QP21" s="99">
        <v>45.752348030018801</v>
      </c>
      <c r="QQ21" s="99">
        <v>45.831976547842402</v>
      </c>
      <c r="QR21" s="99">
        <v>45.911605065666002</v>
      </c>
      <c r="QS21" s="99">
        <v>45.991233583489702</v>
      </c>
      <c r="QT21" s="99">
        <v>46.070862101313303</v>
      </c>
      <c r="QU21" s="99">
        <v>46.150490619137003</v>
      </c>
      <c r="QV21" s="99">
        <v>46.230119136960603</v>
      </c>
      <c r="QW21" s="99">
        <v>46.309747654784204</v>
      </c>
      <c r="QX21" s="99">
        <v>46.389376172607903</v>
      </c>
      <c r="QY21" s="99">
        <v>46.469004690431497</v>
      </c>
      <c r="QZ21" s="99">
        <v>46.548633208255197</v>
      </c>
      <c r="RA21" s="99">
        <v>46.628261726078797</v>
      </c>
      <c r="RB21" s="99">
        <v>46.707890243902398</v>
      </c>
      <c r="RC21" s="99">
        <v>46.787518761726098</v>
      </c>
      <c r="RD21" s="99">
        <v>46.867147279549698</v>
      </c>
      <c r="RE21" s="99">
        <v>46.946775797373398</v>
      </c>
      <c r="RF21" s="99">
        <v>47.026404315196999</v>
      </c>
      <c r="RG21" s="99">
        <v>47.106032833020599</v>
      </c>
      <c r="RH21" s="99">
        <v>47.185661350844299</v>
      </c>
      <c r="RI21" s="99">
        <v>47.265289868667899</v>
      </c>
      <c r="RJ21" s="99">
        <v>47.344918386491599</v>
      </c>
      <c r="RK21" s="99">
        <v>47.4245469043152</v>
      </c>
      <c r="RL21" s="99">
        <v>47.5041754221388</v>
      </c>
      <c r="RM21" s="99">
        <v>47.5838039399625</v>
      </c>
      <c r="RN21" s="99">
        <v>47.663432457786101</v>
      </c>
      <c r="RO21" s="99">
        <v>47.743060975609801</v>
      </c>
      <c r="RP21" s="99">
        <v>47.822689493433401</v>
      </c>
      <c r="RQ21" s="99">
        <v>47.902318011257002</v>
      </c>
      <c r="RR21" s="99">
        <v>47.981946529080702</v>
      </c>
      <c r="RS21" s="99">
        <v>48.061575046904302</v>
      </c>
      <c r="RT21" s="99">
        <v>48.141203564728002</v>
      </c>
      <c r="RU21" s="99">
        <v>48.220832082551603</v>
      </c>
      <c r="RV21" s="99">
        <v>48.300460600375203</v>
      </c>
      <c r="RW21" s="99">
        <v>48.380089118198903</v>
      </c>
      <c r="RX21" s="99">
        <v>48.459717636022503</v>
      </c>
      <c r="RY21" s="99">
        <v>48.539346153846203</v>
      </c>
      <c r="RZ21" s="99">
        <v>48.618974671669797</v>
      </c>
      <c r="SA21" s="99">
        <v>48.698603189493397</v>
      </c>
      <c r="SB21" s="99">
        <v>48.778231707317097</v>
      </c>
      <c r="SC21" s="99">
        <v>48.857860225140698</v>
      </c>
      <c r="SD21" s="99">
        <v>48.937488742964298</v>
      </c>
      <c r="SE21" s="99">
        <v>49.017117260787998</v>
      </c>
      <c r="SF21" s="99">
        <v>49.096745778611599</v>
      </c>
      <c r="SG21" s="99">
        <v>49.176374296435299</v>
      </c>
      <c r="SH21" s="99">
        <v>49.256002814258899</v>
      </c>
      <c r="SI21" s="99">
        <v>49.3356313320825</v>
      </c>
      <c r="SJ21" s="99">
        <v>49.415259849906199</v>
      </c>
      <c r="SK21" s="99">
        <v>49.4948883677298</v>
      </c>
      <c r="SL21" s="99">
        <v>49.5745168855535</v>
      </c>
      <c r="SM21" s="99">
        <v>49.6541454033771</v>
      </c>
      <c r="SN21" s="99">
        <v>49.733773921200701</v>
      </c>
      <c r="SO21" s="99">
        <v>49.813402439024401</v>
      </c>
      <c r="SP21" s="99">
        <v>49.893030956848001</v>
      </c>
      <c r="SQ21" s="99">
        <v>49.972659474671701</v>
      </c>
      <c r="SR21" s="99">
        <v>50.052287992495302</v>
      </c>
      <c r="SS21" s="99">
        <v>50.131916510318902</v>
      </c>
      <c r="ST21" s="99">
        <v>50.211545028142602</v>
      </c>
      <c r="SU21" s="99">
        <v>50.291173545966203</v>
      </c>
      <c r="SV21" s="99">
        <v>50.370802063789903</v>
      </c>
      <c r="SW21" s="99">
        <v>50.450430581613503</v>
      </c>
      <c r="SX21" s="99">
        <v>50.530059099437103</v>
      </c>
      <c r="SY21" s="99">
        <v>50.609687617260803</v>
      </c>
      <c r="SZ21" s="99">
        <v>50.689316135084397</v>
      </c>
      <c r="TA21" s="99">
        <v>50.768944652908097</v>
      </c>
      <c r="TB21" s="99">
        <v>50.848573170731697</v>
      </c>
      <c r="TC21" s="99">
        <v>50.928201688555298</v>
      </c>
      <c r="TD21" s="99">
        <v>51.007830206378998</v>
      </c>
      <c r="TE21" s="99">
        <v>51.087458724202598</v>
      </c>
      <c r="TF21" s="99">
        <v>51.167087242026298</v>
      </c>
      <c r="TG21" s="99">
        <v>51.246715759849899</v>
      </c>
      <c r="TH21" s="99">
        <v>51.326344277673499</v>
      </c>
      <c r="TI21" s="99">
        <v>51.405972795497199</v>
      </c>
      <c r="TJ21" s="99">
        <v>51.485601313320799</v>
      </c>
      <c r="TK21" s="99">
        <v>51.565229831144499</v>
      </c>
      <c r="TL21" s="99">
        <v>51.6448583489681</v>
      </c>
      <c r="TM21" s="99">
        <v>51.7244868667917</v>
      </c>
      <c r="TN21" s="99">
        <v>51.8041153846154</v>
      </c>
      <c r="TO21" s="99">
        <v>51.883743902439001</v>
      </c>
      <c r="TP21" s="99">
        <v>51.963372420262701</v>
      </c>
      <c r="TQ21" s="99">
        <v>52.043000938086301</v>
      </c>
      <c r="TR21" s="99">
        <v>52.122629455909902</v>
      </c>
      <c r="TS21" s="99">
        <v>52.202257973733602</v>
      </c>
      <c r="TT21" s="99">
        <v>52.281886491557202</v>
      </c>
      <c r="TU21" s="99">
        <v>52.361515009380902</v>
      </c>
      <c r="TV21" s="99">
        <v>52.441143527204503</v>
      </c>
      <c r="TW21" s="99">
        <v>52.520772045028103</v>
      </c>
      <c r="TX21" s="99">
        <v>52.600400562851803</v>
      </c>
      <c r="TY21" s="99">
        <v>52.680029080675403</v>
      </c>
      <c r="TZ21" s="99">
        <v>52.759657598499103</v>
      </c>
      <c r="UA21" s="99">
        <v>52.839286116322697</v>
      </c>
      <c r="UB21" s="99">
        <v>52.918914634146297</v>
      </c>
      <c r="UC21" s="99">
        <v>52.998543151969997</v>
      </c>
      <c r="UD21" s="99">
        <v>53.078171669793598</v>
      </c>
      <c r="UE21" s="99">
        <v>53.157800187617298</v>
      </c>
      <c r="UF21" s="99">
        <v>53.237428705440898</v>
      </c>
      <c r="UG21" s="99">
        <v>53.317057223264499</v>
      </c>
      <c r="UH21" s="99">
        <v>53.396685741088199</v>
      </c>
      <c r="UI21" s="99">
        <v>53.476314258911799</v>
      </c>
      <c r="UJ21" s="99">
        <v>53.555942776735499</v>
      </c>
      <c r="UK21" s="99">
        <v>53.635571294559099</v>
      </c>
      <c r="UL21" s="99">
        <v>53.7151998123827</v>
      </c>
      <c r="UM21" s="99">
        <v>53.7948283302064</v>
      </c>
      <c r="UN21" s="99">
        <v>53.87445684803</v>
      </c>
      <c r="UO21" s="99">
        <v>53.9540853658537</v>
      </c>
      <c r="UP21" s="99">
        <v>54.033713883677301</v>
      </c>
      <c r="UQ21" s="99">
        <v>54.113342401500901</v>
      </c>
      <c r="UR21" s="99">
        <v>54.192970919324601</v>
      </c>
      <c r="US21" s="99">
        <v>54.272599437148202</v>
      </c>
      <c r="UT21" s="99">
        <v>54.352227954971802</v>
      </c>
    </row>
    <row r="22" spans="1:566" x14ac:dyDescent="0.2">
      <c r="A22" s="89">
        <v>8</v>
      </c>
      <c r="B22" s="90">
        <v>9.33</v>
      </c>
      <c r="C22" s="90">
        <v>9.4</v>
      </c>
      <c r="D22" s="90">
        <v>9.48</v>
      </c>
      <c r="E22" s="90">
        <v>9.56</v>
      </c>
      <c r="F22" s="90">
        <v>9.64</v>
      </c>
      <c r="G22" s="90">
        <v>9.7200000000000006</v>
      </c>
      <c r="H22" s="90">
        <v>9.8000000000000007</v>
      </c>
      <c r="I22" s="90">
        <v>9.8800000000000008</v>
      </c>
      <c r="J22" s="90">
        <v>9.9499999999999993</v>
      </c>
      <c r="K22" s="90">
        <v>10.029999999999999</v>
      </c>
      <c r="L22" s="90">
        <v>10.11</v>
      </c>
      <c r="M22" s="90">
        <v>10.19</v>
      </c>
      <c r="N22" s="90">
        <v>10.27</v>
      </c>
      <c r="O22" s="90">
        <v>10.35</v>
      </c>
      <c r="P22" s="90">
        <v>10.43</v>
      </c>
      <c r="Q22" s="90">
        <v>10.51</v>
      </c>
      <c r="R22" s="90">
        <v>10.58</v>
      </c>
      <c r="S22" s="90">
        <v>10.66</v>
      </c>
      <c r="T22" s="90">
        <v>10.74</v>
      </c>
      <c r="U22" s="91">
        <v>10.82</v>
      </c>
      <c r="V22" s="90">
        <v>10.9</v>
      </c>
      <c r="W22" s="90">
        <v>10.98</v>
      </c>
      <c r="X22" s="90">
        <v>11.06</v>
      </c>
      <c r="Y22" s="90">
        <v>11.14</v>
      </c>
      <c r="Z22" s="90">
        <v>11.21</v>
      </c>
      <c r="AA22" s="90">
        <v>11.29</v>
      </c>
      <c r="AB22" s="90">
        <v>11.37</v>
      </c>
      <c r="AC22" s="90">
        <v>11.45</v>
      </c>
      <c r="AD22" s="90">
        <v>11.53</v>
      </c>
      <c r="AE22" s="90">
        <v>11.61</v>
      </c>
      <c r="AF22" s="90">
        <v>11.69</v>
      </c>
      <c r="AG22" s="90">
        <v>11.76</v>
      </c>
      <c r="AH22" s="90">
        <v>11.84</v>
      </c>
      <c r="AI22" s="90">
        <v>11.92</v>
      </c>
      <c r="AJ22" s="90">
        <v>12</v>
      </c>
      <c r="AK22" s="90">
        <v>12.08</v>
      </c>
      <c r="AL22" s="90">
        <v>12.16</v>
      </c>
      <c r="AM22" s="90">
        <v>12.24</v>
      </c>
      <c r="AN22" s="90">
        <v>12.32</v>
      </c>
      <c r="AO22" s="91">
        <v>12.39</v>
      </c>
      <c r="AP22" s="90">
        <v>12.473192307692299</v>
      </c>
      <c r="AQ22" s="90">
        <v>12.5518968105066</v>
      </c>
      <c r="AR22" s="90">
        <v>12.630601313320801</v>
      </c>
      <c r="AS22" s="90">
        <v>12.7093058161351</v>
      </c>
      <c r="AT22" s="90">
        <v>12.788010318949301</v>
      </c>
      <c r="AU22" s="90">
        <v>12.866714821763599</v>
      </c>
      <c r="AV22" s="90">
        <v>12.9454193245779</v>
      </c>
      <c r="AW22" s="90">
        <v>13.024123827392099</v>
      </c>
      <c r="AX22" s="90">
        <v>13.1028283302064</v>
      </c>
      <c r="AY22" s="90">
        <v>13.181532833020601</v>
      </c>
      <c r="AZ22" s="90">
        <v>13.260237335834899</v>
      </c>
      <c r="BA22" s="90">
        <v>13.3389418386492</v>
      </c>
      <c r="BB22" s="90">
        <v>13.417646341463399</v>
      </c>
      <c r="BC22" s="90">
        <v>13.4963508442777</v>
      </c>
      <c r="BD22" s="90">
        <v>13.575055347091901</v>
      </c>
      <c r="BE22" s="90">
        <v>13.6537598499062</v>
      </c>
      <c r="BF22" s="90">
        <v>13.7324643527205</v>
      </c>
      <c r="BG22" s="90">
        <v>13.811168855534699</v>
      </c>
      <c r="BH22" s="90">
        <v>13.889873358349</v>
      </c>
      <c r="BI22" s="91">
        <v>13.968577861163199</v>
      </c>
      <c r="BJ22" s="90">
        <v>14.0472823639775</v>
      </c>
      <c r="BK22" s="99">
        <v>14.125986866791701</v>
      </c>
      <c r="BL22" s="99">
        <v>14.204691369606</v>
      </c>
      <c r="BM22" s="99">
        <v>14.2833958724203</v>
      </c>
      <c r="BN22" s="99">
        <v>14.362100375234499</v>
      </c>
      <c r="BO22" s="99">
        <v>14.4408048780488</v>
      </c>
      <c r="BP22" s="99">
        <v>14.519509380862999</v>
      </c>
      <c r="BQ22" s="99">
        <v>14.5982138836773</v>
      </c>
      <c r="BR22" s="99">
        <v>14.6769183864916</v>
      </c>
      <c r="BS22" s="99">
        <v>14.755622889305799</v>
      </c>
      <c r="BT22" s="99">
        <v>14.8343273921201</v>
      </c>
      <c r="BU22" s="99">
        <v>14.913031894934299</v>
      </c>
      <c r="BV22" s="99">
        <v>14.9917363977486</v>
      </c>
      <c r="BW22" s="99">
        <v>15.0704409005629</v>
      </c>
      <c r="BX22" s="99">
        <v>15.1491454033771</v>
      </c>
      <c r="BY22" s="99">
        <v>15.2278499061914</v>
      </c>
      <c r="BZ22" s="99">
        <v>15.306554409005599</v>
      </c>
      <c r="CA22" s="99">
        <v>15.3852589118199</v>
      </c>
      <c r="CB22" s="99">
        <v>15.4639634146342</v>
      </c>
      <c r="CC22" s="99">
        <v>15.5426679174484</v>
      </c>
      <c r="CD22" s="99">
        <v>15.6213724202627</v>
      </c>
      <c r="CE22" s="99">
        <v>15.7000769230769</v>
      </c>
      <c r="CF22" s="99">
        <v>15.7787814258912</v>
      </c>
      <c r="CG22" s="99">
        <v>15.857485928705399</v>
      </c>
      <c r="CH22" s="99">
        <v>15.9361904315197</v>
      </c>
      <c r="CI22" s="99">
        <v>16.014894934333999</v>
      </c>
      <c r="CJ22" s="99">
        <v>16.0935994371482</v>
      </c>
      <c r="CK22" s="99">
        <v>16.1723039399625</v>
      </c>
      <c r="CL22" s="99">
        <v>16.251008442776701</v>
      </c>
      <c r="CM22" s="99">
        <v>16.329712945591002</v>
      </c>
      <c r="CN22" s="99">
        <v>16.408417448405299</v>
      </c>
      <c r="CO22" s="99">
        <v>16.4871219512195</v>
      </c>
      <c r="CP22" s="99">
        <v>16.5658264540338</v>
      </c>
      <c r="CQ22" s="99">
        <v>16.644530956848001</v>
      </c>
      <c r="CR22" s="99">
        <v>16.723235459662298</v>
      </c>
      <c r="CS22" s="99">
        <v>16.801939962476599</v>
      </c>
      <c r="CT22" s="99">
        <v>16.8806444652908</v>
      </c>
      <c r="CU22" s="99">
        <v>16.9593489681051</v>
      </c>
      <c r="CV22" s="99">
        <v>17.038053470919301</v>
      </c>
      <c r="CW22" s="99">
        <v>17.116757973733598</v>
      </c>
      <c r="CX22" s="99">
        <v>17.195462476547799</v>
      </c>
      <c r="CY22" s="99">
        <v>17.2741669793621</v>
      </c>
      <c r="CZ22" s="99">
        <v>17.352871482176401</v>
      </c>
      <c r="DA22" s="99">
        <v>17.431575984990602</v>
      </c>
      <c r="DB22" s="99">
        <v>17.510280487804899</v>
      </c>
      <c r="DC22" s="99">
        <v>17.5889849906191</v>
      </c>
      <c r="DD22" s="99">
        <v>17.6676894934334</v>
      </c>
      <c r="DE22" s="99">
        <v>17.746393996247701</v>
      </c>
      <c r="DF22" s="99">
        <v>17.825098499061902</v>
      </c>
      <c r="DG22" s="99">
        <v>17.903803001876199</v>
      </c>
      <c r="DH22" s="99">
        <v>17.9825075046904</v>
      </c>
      <c r="DI22" s="99">
        <v>18.0612120075047</v>
      </c>
      <c r="DJ22" s="99">
        <v>18.139916510319001</v>
      </c>
      <c r="DK22" s="99">
        <v>18.218621013133198</v>
      </c>
      <c r="DL22" s="99">
        <v>18.297325515947499</v>
      </c>
      <c r="DM22" s="99">
        <v>18.3760300187617</v>
      </c>
      <c r="DN22" s="99">
        <v>18.454734521576</v>
      </c>
      <c r="DO22" s="99">
        <v>18.533439024390201</v>
      </c>
      <c r="DP22" s="99">
        <v>18.612143527204498</v>
      </c>
      <c r="DQ22" s="99">
        <v>18.690848030018799</v>
      </c>
      <c r="DR22" s="99">
        <v>18.769552532833</v>
      </c>
      <c r="DS22" s="99">
        <v>18.8482570356473</v>
      </c>
      <c r="DT22" s="99">
        <v>18.926961538461502</v>
      </c>
      <c r="DU22" s="99">
        <v>19.005666041275799</v>
      </c>
      <c r="DV22" s="99">
        <v>19.084370544090099</v>
      </c>
      <c r="DW22" s="99">
        <v>19.1630750469043</v>
      </c>
      <c r="DX22" s="99">
        <v>19.241779549718601</v>
      </c>
      <c r="DY22" s="99">
        <v>19.320484052532802</v>
      </c>
      <c r="DZ22" s="99">
        <v>19.399188555347099</v>
      </c>
      <c r="EA22" s="99">
        <v>19.4778930581613</v>
      </c>
      <c r="EB22" s="99">
        <v>19.5565975609757</v>
      </c>
      <c r="EC22" s="99">
        <v>19.635302063789901</v>
      </c>
      <c r="ED22" s="99">
        <v>19.714006566604201</v>
      </c>
      <c r="EE22" s="99">
        <v>19.792711069418399</v>
      </c>
      <c r="EF22" s="99">
        <v>19.8714155722326</v>
      </c>
      <c r="EG22" s="99">
        <v>19.950120075047</v>
      </c>
      <c r="EH22" s="99">
        <v>20.028824577861201</v>
      </c>
      <c r="EI22" s="99">
        <v>20.107529080675501</v>
      </c>
      <c r="EJ22" s="99">
        <v>20.186233583489699</v>
      </c>
      <c r="EK22" s="99">
        <v>20.2649380863039</v>
      </c>
      <c r="EL22" s="99">
        <v>20.3436425891182</v>
      </c>
      <c r="EM22" s="99">
        <v>20.422347091932501</v>
      </c>
      <c r="EN22" s="99">
        <v>20.501051594746801</v>
      </c>
      <c r="EO22" s="99">
        <v>20.579756097560999</v>
      </c>
      <c r="EP22" s="99">
        <v>20.6584606003752</v>
      </c>
      <c r="EQ22" s="99">
        <v>20.737165103189501</v>
      </c>
      <c r="ER22" s="99">
        <v>20.815869606003801</v>
      </c>
      <c r="ES22" s="99">
        <v>20.894574108818102</v>
      </c>
      <c r="ET22" s="99">
        <v>20.973278611632299</v>
      </c>
      <c r="EU22" s="99">
        <v>21.0519831144465</v>
      </c>
      <c r="EV22" s="99">
        <v>21.130687617260801</v>
      </c>
      <c r="EW22" s="99">
        <v>21.209392120075101</v>
      </c>
      <c r="EX22" s="99">
        <v>21.288096622889402</v>
      </c>
      <c r="EY22" s="99">
        <v>21.366801125703599</v>
      </c>
      <c r="EZ22" s="99">
        <v>21.4455056285179</v>
      </c>
      <c r="FA22" s="99">
        <v>21.524210131332101</v>
      </c>
      <c r="FB22" s="99">
        <v>21.602914634146401</v>
      </c>
      <c r="FC22" s="99">
        <v>21.681619136960698</v>
      </c>
      <c r="FD22" s="99">
        <v>21.760323639774899</v>
      </c>
      <c r="FE22" s="99">
        <v>21.8390281425892</v>
      </c>
      <c r="FF22" s="99">
        <v>21.917732645403401</v>
      </c>
      <c r="FG22" s="99">
        <v>21.996437148217701</v>
      </c>
      <c r="FH22" s="99">
        <v>22.075141651031799</v>
      </c>
      <c r="FI22" s="99">
        <v>22.153846153846199</v>
      </c>
      <c r="FJ22" s="99">
        <v>22.2325506566605</v>
      </c>
      <c r="FK22" s="99">
        <v>22.311255159474701</v>
      </c>
      <c r="FL22" s="99">
        <v>22.389959662289002</v>
      </c>
      <c r="FM22" s="99">
        <v>22.4686641651031</v>
      </c>
      <c r="FN22" s="99">
        <v>22.5473686679175</v>
      </c>
      <c r="FO22" s="99">
        <v>22.6260731707318</v>
      </c>
      <c r="FP22" s="99">
        <v>22.704777673546001</v>
      </c>
      <c r="FQ22" s="99">
        <v>22.783482176360302</v>
      </c>
      <c r="FR22" s="99">
        <v>22.8621866791744</v>
      </c>
      <c r="FS22" s="99">
        <v>22.9408911819888</v>
      </c>
      <c r="FT22" s="99">
        <v>23.0195956848031</v>
      </c>
      <c r="FU22" s="99">
        <v>23.098300187617301</v>
      </c>
      <c r="FV22" s="99">
        <v>23.177004690431598</v>
      </c>
      <c r="FW22" s="99">
        <v>23.2557091932457</v>
      </c>
      <c r="FX22" s="99">
        <v>23.3344136960601</v>
      </c>
      <c r="FY22" s="99">
        <v>23.413118198874301</v>
      </c>
      <c r="FZ22" s="99">
        <v>23.491822701688601</v>
      </c>
      <c r="GA22" s="99">
        <v>23.570527204502898</v>
      </c>
      <c r="GB22" s="99">
        <v>23.649231707317</v>
      </c>
      <c r="GC22" s="99">
        <v>23.7279362101314</v>
      </c>
      <c r="GD22" s="99">
        <v>23.806640712945601</v>
      </c>
      <c r="GE22" s="99">
        <v>23.885345215759902</v>
      </c>
      <c r="GF22" s="99">
        <v>23.964049718574199</v>
      </c>
      <c r="GG22" s="99">
        <v>24.0427542213883</v>
      </c>
      <c r="GH22" s="99">
        <v>24.1214587242027</v>
      </c>
      <c r="GI22" s="99">
        <v>24.200163227016901</v>
      </c>
      <c r="GJ22" s="99">
        <v>24.278867729831202</v>
      </c>
      <c r="GK22" s="99">
        <v>24.357572232645499</v>
      </c>
      <c r="GL22" s="99">
        <v>24.4362767354596</v>
      </c>
      <c r="GM22" s="99">
        <v>24.514981238274</v>
      </c>
      <c r="GN22" s="99">
        <v>24.593685741088201</v>
      </c>
      <c r="GO22" s="99">
        <v>24.672390243902498</v>
      </c>
      <c r="GP22" s="99">
        <v>24.751094746716699</v>
      </c>
      <c r="GQ22" s="99">
        <v>24.829799249531</v>
      </c>
      <c r="GR22" s="99">
        <v>24.9085037523453</v>
      </c>
      <c r="GS22" s="99">
        <v>24.987208255159501</v>
      </c>
      <c r="GT22" s="99">
        <v>25.065912757973798</v>
      </c>
      <c r="GU22" s="99">
        <v>25.144617260787999</v>
      </c>
      <c r="GV22" s="99">
        <v>25.2233217636023</v>
      </c>
      <c r="GW22" s="99">
        <v>25.3020262664166</v>
      </c>
      <c r="GX22" s="99">
        <v>25.380730769230802</v>
      </c>
      <c r="GY22" s="99">
        <v>25.459435272044999</v>
      </c>
      <c r="GZ22" s="99">
        <v>25.5381397748593</v>
      </c>
      <c r="HA22" s="99">
        <v>25.6168442776736</v>
      </c>
      <c r="HB22" s="99">
        <v>25.695548780487901</v>
      </c>
      <c r="HC22" s="99">
        <v>25.774253283302102</v>
      </c>
      <c r="HD22" s="99">
        <v>25.852957786116299</v>
      </c>
      <c r="HE22" s="99">
        <v>25.9316622889306</v>
      </c>
      <c r="HF22" s="99">
        <v>26.0103667917449</v>
      </c>
      <c r="HG22" s="99">
        <v>26.089071294559201</v>
      </c>
      <c r="HH22" s="99">
        <v>26.167775797373402</v>
      </c>
      <c r="HI22" s="99">
        <v>26.246480300187599</v>
      </c>
      <c r="HJ22" s="99">
        <v>26.3251848030019</v>
      </c>
      <c r="HK22" s="99">
        <v>26.4038893058162</v>
      </c>
      <c r="HL22" s="99">
        <v>26.482593808630298</v>
      </c>
      <c r="HM22" s="99">
        <v>26.561298311444698</v>
      </c>
      <c r="HN22" s="99">
        <v>26.640002814258899</v>
      </c>
      <c r="HO22" s="99">
        <v>26.7187073170732</v>
      </c>
      <c r="HP22" s="99">
        <v>26.7974118198875</v>
      </c>
      <c r="HQ22" s="99">
        <v>26.876116322701598</v>
      </c>
      <c r="HR22" s="99">
        <v>26.954820825515998</v>
      </c>
      <c r="HS22" s="99">
        <v>27.033525328330199</v>
      </c>
      <c r="HT22" s="99">
        <v>27.1122298311445</v>
      </c>
      <c r="HU22" s="99">
        <v>27.190934333958801</v>
      </c>
      <c r="HV22" s="99">
        <v>27.269638836772899</v>
      </c>
      <c r="HW22" s="99">
        <v>27.348343339587299</v>
      </c>
      <c r="HX22" s="99">
        <v>27.4270478424014</v>
      </c>
      <c r="HY22" s="99">
        <v>27.5057523452158</v>
      </c>
      <c r="HZ22" s="99">
        <v>27.584456848030101</v>
      </c>
      <c r="IA22" s="99">
        <v>27.663161350844199</v>
      </c>
      <c r="IB22" s="99">
        <v>27.741865853658599</v>
      </c>
      <c r="IC22" s="99">
        <v>27.8205703564728</v>
      </c>
      <c r="ID22" s="99">
        <v>27.8992748592871</v>
      </c>
      <c r="IE22" s="99">
        <v>27.977979362101401</v>
      </c>
      <c r="IF22" s="99">
        <v>28.056683864915499</v>
      </c>
      <c r="IG22" s="99">
        <v>28.135388367729899</v>
      </c>
      <c r="IH22" s="99">
        <v>28.2140928705441</v>
      </c>
      <c r="II22" s="99">
        <v>28.2927973733584</v>
      </c>
      <c r="IJ22" s="99">
        <v>28.371501876172701</v>
      </c>
      <c r="IK22" s="99">
        <v>28.450206378986799</v>
      </c>
      <c r="IL22" s="99">
        <v>28.528910881801199</v>
      </c>
      <c r="IM22" s="99">
        <v>28.6076153846154</v>
      </c>
      <c r="IN22" s="99">
        <v>28.686319887429701</v>
      </c>
      <c r="IO22" s="99">
        <v>28.765024390244001</v>
      </c>
      <c r="IP22" s="99">
        <v>28.843728893058099</v>
      </c>
      <c r="IQ22" s="99">
        <v>28.922433395872499</v>
      </c>
      <c r="IR22" s="99">
        <v>29.0011378986867</v>
      </c>
      <c r="IS22" s="99">
        <v>29.079842401501001</v>
      </c>
      <c r="IT22" s="99">
        <v>29.158546904315202</v>
      </c>
      <c r="IU22" s="99">
        <v>29.237251407129399</v>
      </c>
      <c r="IV22" s="99">
        <v>29.315955909943799</v>
      </c>
      <c r="IW22" s="99">
        <v>29.394660412758</v>
      </c>
      <c r="IX22" s="99">
        <v>29.473364915572301</v>
      </c>
      <c r="IY22" s="99">
        <v>29.552069418386498</v>
      </c>
      <c r="IZ22" s="99">
        <v>29.630773921200699</v>
      </c>
      <c r="JA22" s="99">
        <v>29.709478424015099</v>
      </c>
      <c r="JB22" s="99">
        <v>29.7881829268293</v>
      </c>
      <c r="JC22" s="99">
        <v>29.866887429643601</v>
      </c>
      <c r="JD22" s="99">
        <v>29.945591932457798</v>
      </c>
      <c r="JE22" s="99">
        <v>30.024296435271999</v>
      </c>
      <c r="JF22" s="99">
        <v>30.103000938086399</v>
      </c>
      <c r="JG22" s="99">
        <v>30.1817054409006</v>
      </c>
      <c r="JH22" s="99">
        <v>30.260409943714901</v>
      </c>
      <c r="JI22" s="99">
        <v>30.339114446529099</v>
      </c>
      <c r="JJ22" s="99">
        <v>30.4178189493433</v>
      </c>
      <c r="JK22" s="99">
        <v>30.4965234521577</v>
      </c>
      <c r="JL22" s="99">
        <v>30.575227954971901</v>
      </c>
      <c r="JM22" s="99">
        <v>30.653932457786201</v>
      </c>
      <c r="JN22" s="99">
        <v>30.732636960600399</v>
      </c>
      <c r="JO22" s="99">
        <v>30.8113414634146</v>
      </c>
      <c r="JP22" s="99">
        <v>30.8900459662289</v>
      </c>
      <c r="JQ22" s="99">
        <v>30.968750469043201</v>
      </c>
      <c r="JR22" s="99">
        <v>31.047454971857501</v>
      </c>
      <c r="JS22" s="99">
        <v>31.126159474671699</v>
      </c>
      <c r="JT22" s="99">
        <v>31.2048639774859</v>
      </c>
      <c r="JU22" s="99">
        <v>31.2835684803002</v>
      </c>
      <c r="JV22" s="99">
        <v>31.362272983114501</v>
      </c>
      <c r="JW22" s="99">
        <v>31.440977485928698</v>
      </c>
      <c r="JX22" s="99">
        <v>31.519681988742999</v>
      </c>
      <c r="JY22" s="99">
        <v>31.5983864915572</v>
      </c>
      <c r="JZ22" s="99">
        <v>31.6770909943715</v>
      </c>
      <c r="KA22" s="99">
        <v>31.755795497185801</v>
      </c>
      <c r="KB22" s="99">
        <v>31.834499999999998</v>
      </c>
      <c r="KC22" s="99">
        <v>31.913204502814299</v>
      </c>
      <c r="KD22" s="99">
        <v>31.9919090056285</v>
      </c>
      <c r="KE22" s="99">
        <v>32.070613508442797</v>
      </c>
      <c r="KF22" s="99">
        <v>32.149318011257101</v>
      </c>
      <c r="KG22" s="99">
        <v>32.228022514071199</v>
      </c>
      <c r="KH22" s="99">
        <v>32.306727016885603</v>
      </c>
      <c r="KI22" s="99">
        <v>32.3854315196998</v>
      </c>
      <c r="KJ22" s="99">
        <v>32.464136022514097</v>
      </c>
      <c r="KK22" s="99">
        <v>32.542840525328401</v>
      </c>
      <c r="KL22" s="99">
        <v>32.621545028142499</v>
      </c>
      <c r="KM22" s="99">
        <v>32.700249530956903</v>
      </c>
      <c r="KN22" s="99">
        <v>32.7789540337712</v>
      </c>
      <c r="KO22" s="99">
        <v>32.857658536585397</v>
      </c>
      <c r="KP22" s="99">
        <v>32.936363039399701</v>
      </c>
      <c r="KQ22" s="99">
        <v>33.015067542213799</v>
      </c>
      <c r="KR22" s="99">
        <v>33.093772045028203</v>
      </c>
      <c r="KS22" s="99">
        <v>33.1724765478425</v>
      </c>
      <c r="KT22" s="99">
        <v>33.251181050656697</v>
      </c>
      <c r="KU22" s="99">
        <v>33.329885553471001</v>
      </c>
      <c r="KV22" s="99">
        <v>33.408590056285099</v>
      </c>
      <c r="KW22" s="99">
        <v>33.487294559099503</v>
      </c>
      <c r="KX22" s="99">
        <v>33.565999061913701</v>
      </c>
      <c r="KY22" s="99">
        <v>33.644703564727998</v>
      </c>
      <c r="KZ22" s="99">
        <v>33.723408067542302</v>
      </c>
      <c r="LA22" s="99">
        <v>33.8021125703564</v>
      </c>
      <c r="LB22" s="99">
        <v>33.880817073170803</v>
      </c>
      <c r="LC22" s="99">
        <v>33.959521575985001</v>
      </c>
      <c r="LD22" s="99">
        <v>34.038226078799298</v>
      </c>
      <c r="LE22" s="99">
        <v>34.116930581613602</v>
      </c>
      <c r="LF22" s="99">
        <v>34.1956350844277</v>
      </c>
      <c r="LG22" s="99">
        <v>34.274339587242103</v>
      </c>
      <c r="LH22" s="99">
        <v>34.353044090056301</v>
      </c>
      <c r="LI22" s="99">
        <v>34.431748592870598</v>
      </c>
      <c r="LJ22" s="99">
        <v>34.510453095684902</v>
      </c>
      <c r="LK22" s="99">
        <v>34.589157598499</v>
      </c>
      <c r="LL22" s="99">
        <v>34.667862101313403</v>
      </c>
      <c r="LM22" s="99">
        <v>34.746566604127601</v>
      </c>
      <c r="LN22" s="99">
        <v>34.825271106941798</v>
      </c>
      <c r="LO22" s="99">
        <v>34.903975609756102</v>
      </c>
      <c r="LP22" s="99">
        <v>34.9826801125703</v>
      </c>
      <c r="LQ22" s="99">
        <v>35.061384615384704</v>
      </c>
      <c r="LR22" s="99">
        <v>35.140089118198901</v>
      </c>
      <c r="LS22" s="99">
        <v>35.218793621013099</v>
      </c>
      <c r="LT22" s="99">
        <v>35.297498123827403</v>
      </c>
      <c r="LU22" s="99">
        <v>35.3762026266416</v>
      </c>
      <c r="LV22" s="99">
        <v>35.454907129455997</v>
      </c>
      <c r="LW22" s="99">
        <v>35.533611632270201</v>
      </c>
      <c r="LX22" s="99">
        <v>35.612316135084399</v>
      </c>
      <c r="LY22" s="99">
        <v>35.691020637898703</v>
      </c>
      <c r="LZ22" s="99">
        <v>35.7697251407129</v>
      </c>
      <c r="MA22" s="99">
        <v>35.848429643527297</v>
      </c>
      <c r="MB22" s="99">
        <v>35.927134146341501</v>
      </c>
      <c r="MC22" s="99">
        <v>36.005838649155699</v>
      </c>
      <c r="MD22" s="99">
        <v>36.084543151970003</v>
      </c>
      <c r="ME22" s="99">
        <v>36.1632476547843</v>
      </c>
      <c r="MF22" s="99">
        <v>36.241952157598597</v>
      </c>
      <c r="MG22" s="99">
        <v>36.320656660412801</v>
      </c>
      <c r="MH22" s="99">
        <v>36.399361163226999</v>
      </c>
      <c r="MI22" s="99">
        <v>36.478065666041303</v>
      </c>
      <c r="MJ22" s="99">
        <v>36.5567701688556</v>
      </c>
      <c r="MK22" s="99">
        <v>36.635474671669797</v>
      </c>
      <c r="ML22" s="99">
        <v>36.714179174484102</v>
      </c>
      <c r="MM22" s="99">
        <v>36.792883677298299</v>
      </c>
      <c r="MN22" s="99">
        <v>36.871588180112603</v>
      </c>
      <c r="MO22" s="99">
        <v>36.9502926829269</v>
      </c>
      <c r="MP22" s="99">
        <v>37.028997185741098</v>
      </c>
      <c r="MQ22" s="99">
        <v>37.107701688555402</v>
      </c>
      <c r="MR22" s="99">
        <v>37.186406191369599</v>
      </c>
      <c r="MS22" s="99">
        <v>37.265110694183903</v>
      </c>
      <c r="MT22" s="99">
        <v>37.3438151969982</v>
      </c>
      <c r="MU22" s="99">
        <v>37.422519699812398</v>
      </c>
      <c r="MV22" s="99">
        <v>37.501224202626702</v>
      </c>
      <c r="MW22" s="99">
        <v>37.579928705440899</v>
      </c>
      <c r="MX22" s="99">
        <v>37.658633208255203</v>
      </c>
      <c r="MY22" s="99">
        <v>37.7373377110695</v>
      </c>
      <c r="MZ22" s="99">
        <v>37.816042213883598</v>
      </c>
      <c r="NA22" s="99">
        <v>37.894746716698002</v>
      </c>
      <c r="NB22" s="99">
        <v>37.9734512195121</v>
      </c>
      <c r="NC22" s="99">
        <v>38.052155722326503</v>
      </c>
      <c r="ND22" s="99">
        <v>38.1308602251408</v>
      </c>
      <c r="NE22" s="99">
        <v>38.209564727954898</v>
      </c>
      <c r="NF22" s="99">
        <v>38.288269230769302</v>
      </c>
      <c r="NG22" s="99">
        <v>38.3669737335834</v>
      </c>
      <c r="NH22" s="99">
        <v>38.445678236397796</v>
      </c>
      <c r="NI22" s="99">
        <v>38.524382739212101</v>
      </c>
      <c r="NJ22" s="99">
        <v>38.603087242026199</v>
      </c>
      <c r="NK22" s="99">
        <v>38.681791744840602</v>
      </c>
      <c r="NL22" s="99">
        <v>38.7604962476547</v>
      </c>
      <c r="NM22" s="99">
        <v>38.839200750469097</v>
      </c>
      <c r="NN22" s="99">
        <v>38.917905253283401</v>
      </c>
      <c r="NO22" s="99">
        <v>38.996609756097499</v>
      </c>
      <c r="NP22" s="99">
        <v>39.075314258911902</v>
      </c>
      <c r="NQ22" s="99">
        <v>39.1540187617261</v>
      </c>
      <c r="NR22" s="99">
        <v>39.232723264540397</v>
      </c>
      <c r="NS22" s="99">
        <v>39.311427767354601</v>
      </c>
      <c r="NT22" s="99">
        <v>39.390132270168799</v>
      </c>
      <c r="NU22" s="99">
        <v>39.468836772983202</v>
      </c>
      <c r="NV22" s="99">
        <v>39.5475412757974</v>
      </c>
      <c r="NW22" s="99">
        <v>39.626245778611697</v>
      </c>
      <c r="NX22" s="99">
        <v>39.704950281425901</v>
      </c>
      <c r="NY22" s="99">
        <v>39.783654784240099</v>
      </c>
      <c r="NZ22" s="99">
        <v>39.862359287054502</v>
      </c>
      <c r="OA22" s="99">
        <v>39.9410637898687</v>
      </c>
      <c r="OB22" s="99">
        <v>40.019768292682997</v>
      </c>
      <c r="OC22" s="99">
        <v>40.098472795497202</v>
      </c>
      <c r="OD22" s="99">
        <v>40.177177298311399</v>
      </c>
      <c r="OE22" s="99">
        <v>40.255881801125803</v>
      </c>
      <c r="OF22" s="99">
        <v>40.33458630394</v>
      </c>
      <c r="OG22" s="99">
        <v>40.413290806754297</v>
      </c>
      <c r="OH22" s="99">
        <v>40.491995309568502</v>
      </c>
      <c r="OI22" s="99">
        <v>40.570699812382699</v>
      </c>
      <c r="OJ22" s="99">
        <v>40.649404315197003</v>
      </c>
      <c r="OK22" s="99">
        <v>40.7281088180113</v>
      </c>
      <c r="OL22" s="99">
        <v>40.806813320825597</v>
      </c>
      <c r="OM22" s="99">
        <v>40.885517823639802</v>
      </c>
      <c r="ON22" s="99">
        <v>40.964222326453999</v>
      </c>
      <c r="OO22" s="99">
        <v>41.042926829268303</v>
      </c>
      <c r="OP22" s="99">
        <v>41.1216313320826</v>
      </c>
      <c r="OQ22" s="99">
        <v>41.200335834896897</v>
      </c>
      <c r="OR22" s="99">
        <v>41.279040337711102</v>
      </c>
      <c r="OS22" s="99">
        <v>41.357744840525299</v>
      </c>
      <c r="OT22" s="99">
        <v>41.436449343339497</v>
      </c>
      <c r="OU22" s="99">
        <v>41.5151538461539</v>
      </c>
      <c r="OV22" s="99">
        <v>41.593858348968098</v>
      </c>
      <c r="OW22" s="99">
        <v>41.672562851782402</v>
      </c>
      <c r="OX22" s="99">
        <v>41.7512673545966</v>
      </c>
      <c r="OY22" s="99">
        <v>41.829971857410797</v>
      </c>
      <c r="OZ22" s="99">
        <v>41.908676360225201</v>
      </c>
      <c r="PA22" s="99">
        <v>41.987380863039299</v>
      </c>
      <c r="PB22" s="99">
        <v>42.066085365853702</v>
      </c>
      <c r="PC22" s="99">
        <v>42.1447898686679</v>
      </c>
      <c r="PD22" s="99">
        <v>42.223494371482097</v>
      </c>
      <c r="PE22" s="99">
        <v>42.302198874296501</v>
      </c>
      <c r="PF22" s="99">
        <v>42.380903377110599</v>
      </c>
      <c r="PG22" s="99">
        <v>42.459607879925002</v>
      </c>
      <c r="PH22" s="99">
        <v>42.5383123827392</v>
      </c>
      <c r="PI22" s="99">
        <v>42.617016885553397</v>
      </c>
      <c r="PJ22" s="99">
        <v>42.695721388367801</v>
      </c>
      <c r="PK22" s="99">
        <v>42.774425891181899</v>
      </c>
      <c r="PL22" s="99">
        <v>42.853130393996302</v>
      </c>
      <c r="PM22" s="99">
        <v>42.9318348968105</v>
      </c>
      <c r="PN22" s="99">
        <v>43.010539399624697</v>
      </c>
      <c r="PO22" s="99">
        <v>43.089243902439101</v>
      </c>
      <c r="PP22" s="99">
        <v>43.167948405253199</v>
      </c>
      <c r="PQ22" s="99">
        <v>43.246652908067603</v>
      </c>
      <c r="PR22" s="99">
        <v>43.3253574108818</v>
      </c>
      <c r="PS22" s="99">
        <v>43.404061913695998</v>
      </c>
      <c r="PT22" s="99">
        <v>43.482766416510401</v>
      </c>
      <c r="PU22" s="99">
        <v>43.561470919324499</v>
      </c>
      <c r="PV22" s="99">
        <v>43.640175422138903</v>
      </c>
      <c r="PW22" s="99">
        <v>43.7188799249531</v>
      </c>
      <c r="PX22" s="99">
        <v>43.797584427767298</v>
      </c>
      <c r="PY22" s="99">
        <v>43.876288930581701</v>
      </c>
      <c r="PZ22" s="99">
        <v>43.954993433395799</v>
      </c>
      <c r="QA22" s="99">
        <v>44.033697936210203</v>
      </c>
      <c r="QB22" s="99">
        <v>44.1124024390244</v>
      </c>
      <c r="QC22" s="99">
        <v>44.191106941838598</v>
      </c>
      <c r="QD22" s="99">
        <v>44.269811444653001</v>
      </c>
      <c r="QE22" s="99">
        <v>44.348515947467099</v>
      </c>
      <c r="QF22" s="99">
        <v>44.427220450281503</v>
      </c>
      <c r="QG22" s="99">
        <v>44.5059249530957</v>
      </c>
      <c r="QH22" s="99">
        <v>44.584629455909898</v>
      </c>
      <c r="QI22" s="99">
        <v>44.663333958724301</v>
      </c>
      <c r="QJ22" s="99">
        <v>44.742038461538399</v>
      </c>
      <c r="QK22" s="99">
        <v>44.820742964352803</v>
      </c>
      <c r="QL22" s="99">
        <v>44.899447467167001</v>
      </c>
      <c r="QM22" s="99">
        <v>44.978151969981198</v>
      </c>
      <c r="QN22" s="99">
        <v>45.056856472795602</v>
      </c>
      <c r="QO22" s="99">
        <v>45.1355609756097</v>
      </c>
      <c r="QP22" s="99">
        <v>45.214265478423997</v>
      </c>
      <c r="QQ22" s="99">
        <v>45.292969981238301</v>
      </c>
      <c r="QR22" s="99">
        <v>45.371674484052498</v>
      </c>
      <c r="QS22" s="99">
        <v>45.450378986866802</v>
      </c>
      <c r="QT22" s="99">
        <v>45.529083489681</v>
      </c>
      <c r="QU22" s="99">
        <v>45.607787992495297</v>
      </c>
      <c r="QV22" s="99">
        <v>45.686492495309601</v>
      </c>
      <c r="QW22" s="99">
        <v>45.765196998123798</v>
      </c>
      <c r="QX22" s="99">
        <v>45.843901500938102</v>
      </c>
      <c r="QY22" s="99">
        <v>45.9226060037523</v>
      </c>
      <c r="QZ22" s="99">
        <v>46.001310506566597</v>
      </c>
      <c r="RA22" s="99">
        <v>46.080015009380901</v>
      </c>
      <c r="RB22" s="99">
        <v>46.158719512195098</v>
      </c>
      <c r="RC22" s="99">
        <v>46.237424015009402</v>
      </c>
      <c r="RD22" s="99">
        <v>46.3161285178236</v>
      </c>
      <c r="RE22" s="99">
        <v>46.394833020637897</v>
      </c>
      <c r="RF22" s="99">
        <v>46.473537523452201</v>
      </c>
      <c r="RG22" s="99">
        <v>46.552242026266399</v>
      </c>
      <c r="RH22" s="99">
        <v>46.630946529080703</v>
      </c>
      <c r="RI22" s="99">
        <v>46.7096510318949</v>
      </c>
      <c r="RJ22" s="99">
        <v>46.788355534709098</v>
      </c>
      <c r="RK22" s="99">
        <v>46.867060037523501</v>
      </c>
      <c r="RL22" s="99">
        <v>46.945764540337699</v>
      </c>
      <c r="RM22" s="99">
        <v>47.024469043152003</v>
      </c>
      <c r="RN22" s="99">
        <v>47.1031735459662</v>
      </c>
      <c r="RO22" s="99">
        <v>47.181878048780398</v>
      </c>
      <c r="RP22" s="99">
        <v>47.260582551594801</v>
      </c>
      <c r="RQ22" s="99">
        <v>47.339287054408999</v>
      </c>
      <c r="RR22" s="99">
        <v>47.417991557223303</v>
      </c>
      <c r="RS22" s="99">
        <v>47.4966960600376</v>
      </c>
      <c r="RT22" s="99">
        <v>47.575400562851698</v>
      </c>
      <c r="RU22" s="99">
        <v>47.654105065666101</v>
      </c>
      <c r="RV22" s="99">
        <v>47.732809568480299</v>
      </c>
      <c r="RW22" s="99">
        <v>47.811514071294603</v>
      </c>
      <c r="RX22" s="99">
        <v>47.8902185741089</v>
      </c>
      <c r="RY22" s="99">
        <v>47.968923076922998</v>
      </c>
      <c r="RZ22" s="99">
        <v>48.047627579737402</v>
      </c>
      <c r="SA22" s="99">
        <v>48.1263320825515</v>
      </c>
      <c r="SB22" s="99">
        <v>48.205036585365903</v>
      </c>
      <c r="SC22" s="99">
        <v>48.2837410881802</v>
      </c>
      <c r="SD22" s="99">
        <v>48.362445590994298</v>
      </c>
      <c r="SE22" s="99">
        <v>48.441150093808702</v>
      </c>
      <c r="SF22" s="99">
        <v>48.5198545966228</v>
      </c>
      <c r="SG22" s="99">
        <v>48.598559099437097</v>
      </c>
      <c r="SH22" s="99">
        <v>48.6772636022515</v>
      </c>
      <c r="SI22" s="99">
        <v>48.755968105065598</v>
      </c>
      <c r="SJ22" s="99">
        <v>48.834672607880002</v>
      </c>
      <c r="SK22" s="99">
        <v>48.9133771106941</v>
      </c>
      <c r="SL22" s="99">
        <v>48.992081613508397</v>
      </c>
      <c r="SM22" s="99">
        <v>49.0707861163228</v>
      </c>
      <c r="SN22" s="99">
        <v>49.149490619136898</v>
      </c>
      <c r="SO22" s="99">
        <v>49.228195121951302</v>
      </c>
      <c r="SP22" s="99">
        <v>49.3068996247654</v>
      </c>
      <c r="SQ22" s="99">
        <v>49.385604127579697</v>
      </c>
      <c r="SR22" s="99">
        <v>49.4643086303941</v>
      </c>
      <c r="SS22" s="99">
        <v>49.543013133208198</v>
      </c>
      <c r="ST22" s="99">
        <v>49.621717636022602</v>
      </c>
      <c r="SU22" s="99">
        <v>49.7004221388367</v>
      </c>
      <c r="SV22" s="99">
        <v>49.779126641650997</v>
      </c>
      <c r="SW22" s="99">
        <v>49.857831144465301</v>
      </c>
      <c r="SX22" s="99">
        <v>49.936535647279499</v>
      </c>
      <c r="SY22" s="99">
        <v>50.015240150093902</v>
      </c>
      <c r="SZ22" s="99">
        <v>50.093944652908</v>
      </c>
      <c r="TA22" s="99">
        <v>50.172649155722297</v>
      </c>
      <c r="TB22" s="99">
        <v>50.251353658536601</v>
      </c>
      <c r="TC22" s="99">
        <v>50.330058161350799</v>
      </c>
      <c r="TD22" s="99">
        <v>50.408762664165202</v>
      </c>
      <c r="TE22" s="99">
        <v>50.4874671669793</v>
      </c>
      <c r="TF22" s="99">
        <v>50.566171669793597</v>
      </c>
      <c r="TG22" s="99">
        <v>50.644876172607901</v>
      </c>
      <c r="TH22" s="99">
        <v>50.723580675422099</v>
      </c>
      <c r="TI22" s="99">
        <v>50.802285178236502</v>
      </c>
      <c r="TJ22" s="99">
        <v>50.8809896810507</v>
      </c>
      <c r="TK22" s="99">
        <v>50.959694183864897</v>
      </c>
      <c r="TL22" s="99">
        <v>51.038398686679201</v>
      </c>
      <c r="TM22" s="99">
        <v>51.117103189493399</v>
      </c>
      <c r="TN22" s="99">
        <v>51.195807692307703</v>
      </c>
      <c r="TO22" s="99">
        <v>51.274512195122</v>
      </c>
      <c r="TP22" s="99">
        <v>51.353216697936197</v>
      </c>
      <c r="TQ22" s="99">
        <v>51.431921200750502</v>
      </c>
      <c r="TR22" s="99">
        <v>51.510625703564699</v>
      </c>
      <c r="TS22" s="99">
        <v>51.589330206378897</v>
      </c>
      <c r="TT22" s="99">
        <v>51.6680347091933</v>
      </c>
      <c r="TU22" s="99">
        <v>51.746739212007498</v>
      </c>
      <c r="TV22" s="99">
        <v>51.825443714821802</v>
      </c>
      <c r="TW22" s="99">
        <v>51.904148217635999</v>
      </c>
      <c r="TX22" s="99">
        <v>51.982852720450197</v>
      </c>
      <c r="TY22" s="99">
        <v>52.0615572232646</v>
      </c>
      <c r="TZ22" s="99">
        <v>52.140261726078798</v>
      </c>
      <c r="UA22" s="99">
        <v>52.218966228893102</v>
      </c>
      <c r="UB22" s="99">
        <v>52.297670731707299</v>
      </c>
      <c r="UC22" s="99">
        <v>52.376375234521497</v>
      </c>
      <c r="UD22" s="99">
        <v>52.4550797373359</v>
      </c>
      <c r="UE22" s="99">
        <v>52.533784240149998</v>
      </c>
      <c r="UF22" s="99">
        <v>52.612488742964402</v>
      </c>
      <c r="UG22" s="99">
        <v>52.691193245778599</v>
      </c>
      <c r="UH22" s="99">
        <v>52.769897748592797</v>
      </c>
      <c r="UI22" s="99">
        <v>52.8486022514072</v>
      </c>
      <c r="UJ22" s="99">
        <v>52.927306754221298</v>
      </c>
      <c r="UK22" s="99">
        <v>53.006011257035702</v>
      </c>
      <c r="UL22" s="99">
        <v>53.0847157598499</v>
      </c>
      <c r="UM22" s="99">
        <v>53.163420262664097</v>
      </c>
      <c r="UN22" s="99">
        <v>53.242124765478501</v>
      </c>
      <c r="UO22" s="99">
        <v>53.320829268292599</v>
      </c>
      <c r="UP22" s="99">
        <v>53.399533771107002</v>
      </c>
      <c r="UQ22" s="99">
        <v>53.4782382739212</v>
      </c>
      <c r="UR22" s="99">
        <v>53.556942776735397</v>
      </c>
      <c r="US22" s="99">
        <v>53.635647279549801</v>
      </c>
      <c r="UT22" s="99">
        <v>53.714351782364098</v>
      </c>
    </row>
    <row r="23" spans="1:566" x14ac:dyDescent="0.2">
      <c r="A23" s="89">
        <v>8.5</v>
      </c>
      <c r="B23" s="90">
        <v>9.2100000000000009</v>
      </c>
      <c r="C23" s="90">
        <v>9.2899999999999991</v>
      </c>
      <c r="D23" s="90">
        <v>9.3699999999999992</v>
      </c>
      <c r="E23" s="90">
        <v>9.44</v>
      </c>
      <c r="F23" s="90">
        <v>9.52</v>
      </c>
      <c r="G23" s="90">
        <v>9.6</v>
      </c>
      <c r="H23" s="90">
        <v>9.68</v>
      </c>
      <c r="I23" s="90">
        <v>9.76</v>
      </c>
      <c r="J23" s="90">
        <v>9.83</v>
      </c>
      <c r="K23" s="90">
        <v>9.91</v>
      </c>
      <c r="L23" s="90">
        <v>9.99</v>
      </c>
      <c r="M23" s="90">
        <v>10.07</v>
      </c>
      <c r="N23" s="90">
        <v>10.14</v>
      </c>
      <c r="O23" s="90">
        <v>10.220000000000001</v>
      </c>
      <c r="P23" s="90">
        <v>10.3</v>
      </c>
      <c r="Q23" s="90">
        <v>10.38</v>
      </c>
      <c r="R23" s="90">
        <v>10.46</v>
      </c>
      <c r="S23" s="90">
        <v>10.53</v>
      </c>
      <c r="T23" s="90">
        <v>10.61</v>
      </c>
      <c r="U23" s="91">
        <v>10.69</v>
      </c>
      <c r="V23" s="90">
        <v>10.77</v>
      </c>
      <c r="W23" s="90">
        <v>10.84</v>
      </c>
      <c r="X23" s="90">
        <v>10.92</v>
      </c>
      <c r="Y23" s="90">
        <v>11</v>
      </c>
      <c r="Z23" s="90">
        <v>11.08</v>
      </c>
      <c r="AA23" s="90">
        <v>11.16</v>
      </c>
      <c r="AB23" s="90">
        <v>11.23</v>
      </c>
      <c r="AC23" s="90">
        <v>11.31</v>
      </c>
      <c r="AD23" s="90">
        <v>11.39</v>
      </c>
      <c r="AE23" s="90">
        <v>11.47</v>
      </c>
      <c r="AF23" s="90">
        <v>11.54</v>
      </c>
      <c r="AG23" s="90">
        <v>11.62</v>
      </c>
      <c r="AH23" s="90">
        <v>11.7</v>
      </c>
      <c r="AI23" s="90">
        <v>11.78</v>
      </c>
      <c r="AJ23" s="90">
        <v>11.86</v>
      </c>
      <c r="AK23" s="90">
        <v>11.93</v>
      </c>
      <c r="AL23" s="90">
        <v>12.01</v>
      </c>
      <c r="AM23" s="90">
        <v>12.09</v>
      </c>
      <c r="AN23" s="90">
        <v>12.17</v>
      </c>
      <c r="AO23" s="91">
        <v>12.24</v>
      </c>
      <c r="AP23" s="90">
        <v>12.3221538461538</v>
      </c>
      <c r="AQ23" s="90">
        <v>12.3999296435272</v>
      </c>
      <c r="AR23" s="90">
        <v>12.4777054409006</v>
      </c>
      <c r="AS23" s="90">
        <v>12.555481238273901</v>
      </c>
      <c r="AT23" s="90">
        <v>12.633257035647301</v>
      </c>
      <c r="AU23" s="90">
        <v>12.711032833020599</v>
      </c>
      <c r="AV23" s="90">
        <v>12.788808630394</v>
      </c>
      <c r="AW23" s="90">
        <v>12.8665844277674</v>
      </c>
      <c r="AX23" s="90">
        <v>12.9443602251407</v>
      </c>
      <c r="AY23" s="90">
        <v>13.022136022514101</v>
      </c>
      <c r="AZ23" s="90">
        <v>13.099911819887399</v>
      </c>
      <c r="BA23" s="90">
        <v>13.1776876172608</v>
      </c>
      <c r="BB23" s="90">
        <v>13.2554634146341</v>
      </c>
      <c r="BC23" s="90">
        <v>13.3332392120075</v>
      </c>
      <c r="BD23" s="90">
        <v>13.4110150093809</v>
      </c>
      <c r="BE23" s="90">
        <v>13.488790806754199</v>
      </c>
      <c r="BF23" s="90">
        <v>13.566566604127599</v>
      </c>
      <c r="BG23" s="90">
        <v>13.6443424015009</v>
      </c>
      <c r="BH23" s="90">
        <v>13.7221181988743</v>
      </c>
      <c r="BI23" s="91">
        <v>13.7998939962477</v>
      </c>
      <c r="BJ23" s="90">
        <v>13.877669793620999</v>
      </c>
      <c r="BK23" s="99">
        <v>13.955445590994399</v>
      </c>
      <c r="BL23" s="99">
        <v>14.0332213883677</v>
      </c>
      <c r="BM23" s="99">
        <v>14.1109971857411</v>
      </c>
      <c r="BN23" s="99">
        <v>14.1887729831145</v>
      </c>
      <c r="BO23" s="99">
        <v>14.266548780487801</v>
      </c>
      <c r="BP23" s="99">
        <v>14.344324577861199</v>
      </c>
      <c r="BQ23" s="99">
        <v>14.4221003752345</v>
      </c>
      <c r="BR23" s="99">
        <v>14.4998761726079</v>
      </c>
      <c r="BS23" s="99">
        <v>14.577651969981201</v>
      </c>
      <c r="BT23" s="99">
        <v>14.655427767354601</v>
      </c>
      <c r="BU23" s="99">
        <v>14.733203564728001</v>
      </c>
      <c r="BV23" s="99">
        <v>14.8109793621013</v>
      </c>
      <c r="BW23" s="99">
        <v>14.8887551594747</v>
      </c>
      <c r="BX23" s="99">
        <v>14.966530956848</v>
      </c>
      <c r="BY23" s="99">
        <v>15.044306754221401</v>
      </c>
      <c r="BZ23" s="99">
        <v>15.122082551594801</v>
      </c>
      <c r="CA23" s="99">
        <v>15.1998583489681</v>
      </c>
      <c r="CB23" s="99">
        <v>15.2776341463415</v>
      </c>
      <c r="CC23" s="99">
        <v>15.3554099437148</v>
      </c>
      <c r="CD23" s="99">
        <v>15.433185741088201</v>
      </c>
      <c r="CE23" s="99">
        <v>15.510961538461499</v>
      </c>
      <c r="CF23" s="99">
        <v>15.5887373358349</v>
      </c>
      <c r="CG23" s="99">
        <v>15.6665131332083</v>
      </c>
      <c r="CH23" s="99">
        <v>15.7442889305816</v>
      </c>
      <c r="CI23" s="99">
        <v>15.822064727955</v>
      </c>
      <c r="CJ23" s="99">
        <v>15.899840525328299</v>
      </c>
      <c r="CK23" s="99">
        <v>15.977616322701699</v>
      </c>
      <c r="CL23" s="99">
        <v>16.055392120075101</v>
      </c>
      <c r="CM23" s="99">
        <v>16.1331679174484</v>
      </c>
      <c r="CN23" s="99">
        <v>16.210943714821799</v>
      </c>
      <c r="CO23" s="99">
        <v>16.288719512195101</v>
      </c>
      <c r="CP23" s="99">
        <v>16.366495309568499</v>
      </c>
      <c r="CQ23" s="99">
        <v>16.444271106941802</v>
      </c>
      <c r="CR23" s="99">
        <v>16.5220469043152</v>
      </c>
      <c r="CS23" s="99">
        <v>16.599822701688598</v>
      </c>
      <c r="CT23" s="99">
        <v>16.677598499061901</v>
      </c>
      <c r="CU23" s="99">
        <v>16.755374296435299</v>
      </c>
      <c r="CV23" s="99">
        <v>16.833150093808602</v>
      </c>
      <c r="CW23" s="99">
        <v>16.910925891182</v>
      </c>
      <c r="CX23" s="99">
        <v>16.988701688555398</v>
      </c>
      <c r="CY23" s="99">
        <v>17.066477485928701</v>
      </c>
      <c r="CZ23" s="99">
        <v>17.144253283302099</v>
      </c>
      <c r="DA23" s="99">
        <v>17.222029080675402</v>
      </c>
      <c r="DB23" s="99">
        <v>17.2998048780488</v>
      </c>
      <c r="DC23" s="99">
        <v>17.377580675422099</v>
      </c>
      <c r="DD23" s="99">
        <v>17.455356472795501</v>
      </c>
      <c r="DE23" s="99">
        <v>17.533132270168899</v>
      </c>
      <c r="DF23" s="99">
        <v>17.610908067542201</v>
      </c>
      <c r="DG23" s="99">
        <v>17.6886838649156</v>
      </c>
      <c r="DH23" s="99">
        <v>17.766459662288899</v>
      </c>
      <c r="DI23" s="99">
        <v>17.844235459662301</v>
      </c>
      <c r="DJ23" s="99">
        <v>17.922011257035699</v>
      </c>
      <c r="DK23" s="99">
        <v>17.999787054409001</v>
      </c>
      <c r="DL23" s="99">
        <v>18.0775628517824</v>
      </c>
      <c r="DM23" s="99">
        <v>18.155338649155699</v>
      </c>
      <c r="DN23" s="99">
        <v>18.2331144465291</v>
      </c>
      <c r="DO23" s="99">
        <v>18.310890243902399</v>
      </c>
      <c r="DP23" s="99">
        <v>18.388666041275801</v>
      </c>
      <c r="DQ23" s="99">
        <v>18.4664418386492</v>
      </c>
      <c r="DR23" s="99">
        <v>18.544217636022498</v>
      </c>
      <c r="DS23" s="99">
        <v>18.6219934333959</v>
      </c>
      <c r="DT23" s="99">
        <v>18.699769230769199</v>
      </c>
      <c r="DU23" s="99">
        <v>18.777545028142601</v>
      </c>
      <c r="DV23" s="99">
        <v>18.855320825515999</v>
      </c>
      <c r="DW23" s="99">
        <v>18.933096622889298</v>
      </c>
      <c r="DX23" s="99">
        <v>19.0108724202627</v>
      </c>
      <c r="DY23" s="99">
        <v>19.088648217635999</v>
      </c>
      <c r="DZ23" s="99">
        <v>19.166424015009401</v>
      </c>
      <c r="EA23" s="99">
        <v>19.2441998123827</v>
      </c>
      <c r="EB23" s="99">
        <v>19.321975609756102</v>
      </c>
      <c r="EC23" s="99">
        <v>19.399751407129401</v>
      </c>
      <c r="ED23" s="99">
        <v>19.477527204502799</v>
      </c>
      <c r="EE23" s="99">
        <v>19.555303001876201</v>
      </c>
      <c r="EF23" s="99">
        <v>19.6330787992495</v>
      </c>
      <c r="EG23" s="99">
        <v>19.710854596622902</v>
      </c>
      <c r="EH23" s="99">
        <v>19.7886303939962</v>
      </c>
      <c r="EI23" s="99">
        <v>19.866406191369599</v>
      </c>
      <c r="EJ23" s="99">
        <v>19.944181988743001</v>
      </c>
      <c r="EK23" s="99">
        <v>20.0219577861163</v>
      </c>
      <c r="EL23" s="99">
        <v>20.099733583489702</v>
      </c>
      <c r="EM23" s="99">
        <v>20.177509380863</v>
      </c>
      <c r="EN23" s="99">
        <v>20.255285178236399</v>
      </c>
      <c r="EO23" s="99">
        <v>20.333060975609701</v>
      </c>
      <c r="EP23" s="99">
        <v>20.4108367729831</v>
      </c>
      <c r="EQ23" s="99">
        <v>20.488612570356501</v>
      </c>
      <c r="ER23" s="99">
        <v>20.5663883677298</v>
      </c>
      <c r="ES23" s="99">
        <v>20.644164165103199</v>
      </c>
      <c r="ET23" s="99">
        <v>20.721939962476501</v>
      </c>
      <c r="EU23" s="99">
        <v>20.799715759849899</v>
      </c>
      <c r="EV23" s="99">
        <v>20.877491557223301</v>
      </c>
      <c r="EW23" s="99">
        <v>20.9552673545966</v>
      </c>
      <c r="EX23" s="99">
        <v>21.033043151969999</v>
      </c>
      <c r="EY23" s="99">
        <v>21.110818949343301</v>
      </c>
      <c r="EZ23" s="99">
        <v>21.188594746716699</v>
      </c>
      <c r="FA23" s="99">
        <v>21.266370544090002</v>
      </c>
      <c r="FB23" s="99">
        <v>21.3441463414634</v>
      </c>
      <c r="FC23" s="99">
        <v>21.421922138836798</v>
      </c>
      <c r="FD23" s="99">
        <v>21.499697936210101</v>
      </c>
      <c r="FE23" s="99">
        <v>21.577473733583499</v>
      </c>
      <c r="FF23" s="99">
        <v>21.655249530956802</v>
      </c>
      <c r="FG23" s="99">
        <v>21.7330253283302</v>
      </c>
      <c r="FH23" s="99">
        <v>21.810801125703598</v>
      </c>
      <c r="FI23" s="99">
        <v>21.888576923076901</v>
      </c>
      <c r="FJ23" s="99">
        <v>21.966352720450299</v>
      </c>
      <c r="FK23" s="99">
        <v>22.044128517823601</v>
      </c>
      <c r="FL23" s="99">
        <v>22.121904315197</v>
      </c>
      <c r="FM23" s="99">
        <v>22.199680112570299</v>
      </c>
      <c r="FN23" s="99">
        <v>22.277455909943701</v>
      </c>
      <c r="FO23" s="99">
        <v>22.355231707317099</v>
      </c>
      <c r="FP23" s="99">
        <v>22.433007504690401</v>
      </c>
      <c r="FQ23" s="99">
        <v>22.5107833020638</v>
      </c>
      <c r="FR23" s="99">
        <v>22.588559099437099</v>
      </c>
      <c r="FS23" s="99">
        <v>22.666334896810501</v>
      </c>
      <c r="FT23" s="99">
        <v>22.744110694183899</v>
      </c>
      <c r="FU23" s="99">
        <v>22.821886491557201</v>
      </c>
      <c r="FV23" s="99">
        <v>22.8996622889306</v>
      </c>
      <c r="FW23" s="99">
        <v>22.977438086303899</v>
      </c>
      <c r="FX23" s="99">
        <v>23.0552138836773</v>
      </c>
      <c r="FY23" s="99">
        <v>23.132989681050599</v>
      </c>
      <c r="FZ23" s="99">
        <v>23.210765478424001</v>
      </c>
      <c r="GA23" s="99">
        <v>23.2885412757974</v>
      </c>
      <c r="GB23" s="99">
        <v>23.366317073170698</v>
      </c>
      <c r="GC23" s="99">
        <v>23.4440928705441</v>
      </c>
      <c r="GD23" s="99">
        <v>23.521868667917399</v>
      </c>
      <c r="GE23" s="99">
        <v>23.599644465290801</v>
      </c>
      <c r="GF23" s="99">
        <v>23.677420262664199</v>
      </c>
      <c r="GG23" s="99">
        <v>23.755196060037498</v>
      </c>
      <c r="GH23" s="99">
        <v>23.8329718574109</v>
      </c>
      <c r="GI23" s="99">
        <v>23.910747654784199</v>
      </c>
      <c r="GJ23" s="99">
        <v>23.988523452157601</v>
      </c>
      <c r="GK23" s="99">
        <v>24.0662992495309</v>
      </c>
      <c r="GL23" s="99">
        <v>24.144075046904302</v>
      </c>
      <c r="GM23" s="99">
        <v>24.2218508442777</v>
      </c>
      <c r="GN23" s="99">
        <v>24.299626641650999</v>
      </c>
      <c r="GO23" s="99">
        <v>24.377402439024401</v>
      </c>
      <c r="GP23" s="99">
        <v>24.4551782363977</v>
      </c>
      <c r="GQ23" s="99">
        <v>24.532954033771102</v>
      </c>
      <c r="GR23" s="99">
        <v>24.6107298311445</v>
      </c>
      <c r="GS23" s="99">
        <v>24.688505628517799</v>
      </c>
      <c r="GT23" s="99">
        <v>24.766281425891201</v>
      </c>
      <c r="GU23" s="99">
        <v>24.8440572232645</v>
      </c>
      <c r="GV23" s="99">
        <v>24.921833020637902</v>
      </c>
      <c r="GW23" s="99">
        <v>24.9996088180112</v>
      </c>
      <c r="GX23" s="99">
        <v>25.077384615384599</v>
      </c>
      <c r="GY23" s="99">
        <v>25.155160412758001</v>
      </c>
      <c r="GZ23" s="99">
        <v>25.2329362101313</v>
      </c>
      <c r="HA23" s="99">
        <v>25.310712007504701</v>
      </c>
      <c r="HB23" s="99">
        <v>25.388487804878</v>
      </c>
      <c r="HC23" s="99">
        <v>25.466263602251399</v>
      </c>
      <c r="HD23" s="99">
        <v>25.544039399624801</v>
      </c>
      <c r="HE23" s="99">
        <v>25.621815196998099</v>
      </c>
      <c r="HF23" s="99">
        <v>25.699590994371501</v>
      </c>
      <c r="HG23" s="99">
        <v>25.7773667917448</v>
      </c>
      <c r="HH23" s="99">
        <v>25.855142589118199</v>
      </c>
      <c r="HI23" s="99">
        <v>25.932918386491501</v>
      </c>
      <c r="HJ23" s="99">
        <v>26.010694183864899</v>
      </c>
      <c r="HK23" s="99">
        <v>26.088469981238301</v>
      </c>
      <c r="HL23" s="99">
        <v>26.1662457786116</v>
      </c>
      <c r="HM23" s="99">
        <v>26.244021575984998</v>
      </c>
      <c r="HN23" s="99">
        <v>26.321797373358301</v>
      </c>
      <c r="HO23" s="99">
        <v>26.399573170731699</v>
      </c>
      <c r="HP23" s="99">
        <v>26.477348968105101</v>
      </c>
      <c r="HQ23" s="99">
        <v>26.5551247654784</v>
      </c>
      <c r="HR23" s="99">
        <v>26.632900562851798</v>
      </c>
      <c r="HS23" s="99">
        <v>26.710676360225101</v>
      </c>
      <c r="HT23" s="99">
        <v>26.788452157598499</v>
      </c>
      <c r="HU23" s="99">
        <v>26.866227954971801</v>
      </c>
      <c r="HV23" s="99">
        <v>26.9440037523452</v>
      </c>
      <c r="HW23" s="99">
        <v>27.021779549718602</v>
      </c>
      <c r="HX23" s="99">
        <v>27.099555347091901</v>
      </c>
      <c r="HY23" s="99">
        <v>27.177331144465299</v>
      </c>
      <c r="HZ23" s="99">
        <v>27.255106941838601</v>
      </c>
      <c r="IA23" s="99">
        <v>27.332882739212</v>
      </c>
      <c r="IB23" s="99">
        <v>27.410658536585402</v>
      </c>
      <c r="IC23" s="99">
        <v>27.488434333958701</v>
      </c>
      <c r="ID23" s="99">
        <v>27.566210131332099</v>
      </c>
      <c r="IE23" s="99">
        <v>27.643985928705401</v>
      </c>
      <c r="IF23" s="99">
        <v>27.7217617260788</v>
      </c>
      <c r="IG23" s="99">
        <v>27.799537523452098</v>
      </c>
      <c r="IH23" s="99">
        <v>27.8773133208255</v>
      </c>
      <c r="II23" s="99">
        <v>27.955089118198899</v>
      </c>
      <c r="IJ23" s="99">
        <v>28.032864915572201</v>
      </c>
      <c r="IK23" s="99">
        <v>28.1106407129456</v>
      </c>
      <c r="IL23" s="99">
        <v>28.188416510318898</v>
      </c>
      <c r="IM23" s="99">
        <v>28.2661923076923</v>
      </c>
      <c r="IN23" s="99">
        <v>28.343968105065699</v>
      </c>
      <c r="IO23" s="99">
        <v>28.421743902439001</v>
      </c>
      <c r="IP23" s="99">
        <v>28.499519699812399</v>
      </c>
      <c r="IQ23" s="99">
        <v>28.577295497185698</v>
      </c>
      <c r="IR23" s="99">
        <v>28.6550712945591</v>
      </c>
      <c r="IS23" s="99">
        <v>28.732847091932399</v>
      </c>
      <c r="IT23" s="99">
        <v>28.810622889305801</v>
      </c>
      <c r="IU23" s="99">
        <v>28.888398686679199</v>
      </c>
      <c r="IV23" s="99">
        <v>28.966174484052502</v>
      </c>
      <c r="IW23" s="99">
        <v>29.0439502814259</v>
      </c>
      <c r="IX23" s="99">
        <v>29.121726078799199</v>
      </c>
      <c r="IY23" s="99">
        <v>29.199501876172601</v>
      </c>
      <c r="IZ23" s="99">
        <v>29.277277673545999</v>
      </c>
      <c r="JA23" s="99">
        <v>29.355053470919302</v>
      </c>
      <c r="JB23" s="99">
        <v>29.4328292682927</v>
      </c>
      <c r="JC23" s="99">
        <v>29.510605065665999</v>
      </c>
      <c r="JD23" s="99">
        <v>29.588380863039401</v>
      </c>
      <c r="JE23" s="99">
        <v>29.6661566604127</v>
      </c>
      <c r="JF23" s="99">
        <v>29.743932457786102</v>
      </c>
      <c r="JG23" s="99">
        <v>29.8217082551595</v>
      </c>
      <c r="JH23" s="99">
        <v>29.899484052532799</v>
      </c>
      <c r="JI23" s="99">
        <v>29.977259849906201</v>
      </c>
      <c r="JJ23" s="99">
        <v>30.055035647279499</v>
      </c>
      <c r="JK23" s="99">
        <v>30.132811444652901</v>
      </c>
      <c r="JL23" s="99">
        <v>30.2105872420263</v>
      </c>
      <c r="JM23" s="99">
        <v>30.288363039399599</v>
      </c>
      <c r="JN23" s="99">
        <v>30.366138836773001</v>
      </c>
      <c r="JO23" s="99">
        <v>30.443914634146299</v>
      </c>
      <c r="JP23" s="99">
        <v>30.521690431519701</v>
      </c>
      <c r="JQ23" s="99">
        <v>30.599466228893</v>
      </c>
      <c r="JR23" s="99">
        <v>30.677242026266399</v>
      </c>
      <c r="JS23" s="99">
        <v>30.7550178236398</v>
      </c>
      <c r="JT23" s="99">
        <v>30.832793621013099</v>
      </c>
      <c r="JU23" s="99">
        <v>30.910569418386501</v>
      </c>
      <c r="JV23" s="99">
        <v>30.9883452157598</v>
      </c>
      <c r="JW23" s="99">
        <v>31.066121013133198</v>
      </c>
      <c r="JX23" s="99">
        <v>31.1438968105066</v>
      </c>
      <c r="JY23" s="99">
        <v>31.221672607879899</v>
      </c>
      <c r="JZ23" s="99">
        <v>31.299448405253301</v>
      </c>
      <c r="KA23" s="99">
        <v>31.3772242026266</v>
      </c>
      <c r="KB23" s="99">
        <v>31.454999999999998</v>
      </c>
      <c r="KC23" s="99">
        <v>31.5327757973734</v>
      </c>
      <c r="KD23" s="99">
        <v>31.610551594746699</v>
      </c>
      <c r="KE23" s="99">
        <v>31.688327392120101</v>
      </c>
      <c r="KF23" s="99">
        <v>31.7661031894934</v>
      </c>
      <c r="KG23" s="99">
        <v>31.843878986866802</v>
      </c>
      <c r="KH23" s="99">
        <v>31.921654784240101</v>
      </c>
      <c r="KI23" s="99">
        <v>31.999430581613499</v>
      </c>
      <c r="KJ23" s="99">
        <v>32.077206378986901</v>
      </c>
      <c r="KK23" s="99">
        <v>32.1549821763602</v>
      </c>
      <c r="KL23" s="99">
        <v>32.232757973733598</v>
      </c>
      <c r="KM23" s="99">
        <v>32.310533771106897</v>
      </c>
      <c r="KN23" s="99">
        <v>32.388309568480302</v>
      </c>
      <c r="KO23" s="99">
        <v>32.466085365853701</v>
      </c>
      <c r="KP23" s="99">
        <v>32.543861163227</v>
      </c>
      <c r="KQ23" s="99">
        <v>32.621636960600398</v>
      </c>
      <c r="KR23" s="99">
        <v>32.699412757973697</v>
      </c>
      <c r="KS23" s="99">
        <v>32.777188555347102</v>
      </c>
      <c r="KT23" s="99">
        <v>32.854964352720401</v>
      </c>
      <c r="KU23" s="99">
        <v>32.9327401500938</v>
      </c>
      <c r="KV23" s="99">
        <v>33.010515947467198</v>
      </c>
      <c r="KW23" s="99">
        <v>33.088291744840497</v>
      </c>
      <c r="KX23" s="99">
        <v>33.166067542213902</v>
      </c>
      <c r="KY23" s="99">
        <v>33.243843339587201</v>
      </c>
      <c r="KZ23" s="99">
        <v>33.321619136960599</v>
      </c>
      <c r="LA23" s="99">
        <v>33.399394934333998</v>
      </c>
      <c r="LB23" s="99">
        <v>33.477170731707297</v>
      </c>
      <c r="LC23" s="99">
        <v>33.554946529080702</v>
      </c>
      <c r="LD23" s="99">
        <v>33.632722326454001</v>
      </c>
      <c r="LE23" s="99">
        <v>33.710498123827399</v>
      </c>
      <c r="LF23" s="99">
        <v>33.788273921200698</v>
      </c>
      <c r="LG23" s="99">
        <v>33.866049718574097</v>
      </c>
      <c r="LH23" s="99">
        <v>33.943825515947502</v>
      </c>
      <c r="LI23" s="99">
        <v>34.021601313320801</v>
      </c>
      <c r="LJ23" s="99">
        <v>34.099377110694199</v>
      </c>
      <c r="LK23" s="99">
        <v>34.177152908067498</v>
      </c>
      <c r="LL23" s="99">
        <v>34.254928705440904</v>
      </c>
      <c r="LM23" s="99">
        <v>34.332704502814302</v>
      </c>
      <c r="LN23" s="99">
        <v>34.410480300187601</v>
      </c>
      <c r="LO23" s="99">
        <v>34.488256097560999</v>
      </c>
      <c r="LP23" s="99">
        <v>34.566031894934298</v>
      </c>
      <c r="LQ23" s="99">
        <v>34.643807692307703</v>
      </c>
      <c r="LR23" s="99">
        <v>34.721583489681002</v>
      </c>
      <c r="LS23" s="99">
        <v>34.799359287054401</v>
      </c>
      <c r="LT23" s="99">
        <v>34.877135084427799</v>
      </c>
      <c r="LU23" s="99">
        <v>34.954910881801098</v>
      </c>
      <c r="LV23" s="99">
        <v>35.032686679174503</v>
      </c>
      <c r="LW23" s="99">
        <v>35.110462476547802</v>
      </c>
      <c r="LX23" s="99">
        <v>35.188238273921201</v>
      </c>
      <c r="LY23" s="99">
        <v>35.266014071294599</v>
      </c>
      <c r="LZ23" s="99">
        <v>35.343789868667898</v>
      </c>
      <c r="MA23" s="99">
        <v>35.421565666041303</v>
      </c>
      <c r="MB23" s="99">
        <v>35.499341463414602</v>
      </c>
      <c r="MC23" s="99">
        <v>35.577117260788</v>
      </c>
      <c r="MD23" s="99">
        <v>35.654893058161299</v>
      </c>
      <c r="ME23" s="99">
        <v>35.732668855534698</v>
      </c>
      <c r="MF23" s="99">
        <v>35.810444652908103</v>
      </c>
      <c r="MG23" s="99">
        <v>35.888220450281402</v>
      </c>
      <c r="MH23" s="99">
        <v>35.9659962476548</v>
      </c>
      <c r="MI23" s="99">
        <v>36.043772045028099</v>
      </c>
      <c r="MJ23" s="99">
        <v>36.121547842401498</v>
      </c>
      <c r="MK23" s="99">
        <v>36.199323639774903</v>
      </c>
      <c r="ML23" s="99">
        <v>36.277099437148202</v>
      </c>
      <c r="MM23" s="99">
        <v>36.3548752345216</v>
      </c>
      <c r="MN23" s="99">
        <v>36.432651031894899</v>
      </c>
      <c r="MO23" s="99">
        <v>36.510426829268297</v>
      </c>
      <c r="MP23" s="99">
        <v>36.588202626641603</v>
      </c>
      <c r="MQ23" s="99">
        <v>36.665978424015002</v>
      </c>
      <c r="MR23" s="99">
        <v>36.7437542213884</v>
      </c>
      <c r="MS23" s="99">
        <v>36.821530018761699</v>
      </c>
      <c r="MT23" s="99">
        <v>36.899305816135097</v>
      </c>
      <c r="MU23" s="99">
        <v>36.977081613508403</v>
      </c>
      <c r="MV23" s="99">
        <v>37.054857410881802</v>
      </c>
      <c r="MW23" s="99">
        <v>37.1326332082552</v>
      </c>
      <c r="MX23" s="99">
        <v>37.210409005628499</v>
      </c>
      <c r="MY23" s="99">
        <v>37.288184803001897</v>
      </c>
      <c r="MZ23" s="99">
        <v>37.365960600375203</v>
      </c>
      <c r="NA23" s="99">
        <v>37.443736397748602</v>
      </c>
      <c r="NB23" s="99">
        <v>37.5215121951219</v>
      </c>
      <c r="NC23" s="99">
        <v>37.599287992495299</v>
      </c>
      <c r="ND23" s="99">
        <v>37.677063789868697</v>
      </c>
      <c r="NE23" s="99">
        <v>37.754839587242003</v>
      </c>
      <c r="NF23" s="99">
        <v>37.832615384615401</v>
      </c>
      <c r="NG23" s="99">
        <v>37.9103911819887</v>
      </c>
      <c r="NH23" s="99">
        <v>37.988166979362099</v>
      </c>
      <c r="NI23" s="99">
        <v>38.065942776735497</v>
      </c>
      <c r="NJ23" s="99">
        <v>38.143718574108803</v>
      </c>
      <c r="NK23" s="99">
        <v>38.221494371482201</v>
      </c>
      <c r="NL23" s="99">
        <v>38.2992701688555</v>
      </c>
      <c r="NM23" s="99">
        <v>38.377045966228899</v>
      </c>
      <c r="NN23" s="99">
        <v>38.454821763602197</v>
      </c>
      <c r="NO23" s="99">
        <v>38.532597560975603</v>
      </c>
      <c r="NP23" s="99">
        <v>38.610373358349001</v>
      </c>
      <c r="NQ23" s="99">
        <v>38.6881491557223</v>
      </c>
      <c r="NR23" s="99">
        <v>38.765924953095698</v>
      </c>
      <c r="NS23" s="99">
        <v>38.843700750468997</v>
      </c>
      <c r="NT23" s="99">
        <v>38.921476547842403</v>
      </c>
      <c r="NU23" s="99">
        <v>38.999252345215801</v>
      </c>
      <c r="NV23" s="99">
        <v>39.0770281425891</v>
      </c>
      <c r="NW23" s="99">
        <v>39.154803939962498</v>
      </c>
      <c r="NX23" s="99">
        <v>39.232579737335797</v>
      </c>
      <c r="NY23" s="99">
        <v>39.310355534709203</v>
      </c>
      <c r="NZ23" s="99">
        <v>39.388131332082502</v>
      </c>
      <c r="OA23" s="99">
        <v>39.4659071294559</v>
      </c>
      <c r="OB23" s="99">
        <v>39.543682926829298</v>
      </c>
      <c r="OC23" s="99">
        <v>39.621458724202597</v>
      </c>
      <c r="OD23" s="99">
        <v>39.699234521576003</v>
      </c>
      <c r="OE23" s="99">
        <v>39.777010318949301</v>
      </c>
      <c r="OF23" s="99">
        <v>39.8547861163227</v>
      </c>
      <c r="OG23" s="99">
        <v>39.932561913696098</v>
      </c>
      <c r="OH23" s="99">
        <v>40.010337711069397</v>
      </c>
      <c r="OI23" s="99">
        <v>40.088113508442802</v>
      </c>
      <c r="OJ23" s="99">
        <v>40.165889305816101</v>
      </c>
      <c r="OK23" s="99">
        <v>40.2436651031895</v>
      </c>
      <c r="OL23" s="99">
        <v>40.321440900562799</v>
      </c>
      <c r="OM23" s="99">
        <v>40.399216697936197</v>
      </c>
      <c r="ON23" s="99">
        <v>40.476992495309602</v>
      </c>
      <c r="OO23" s="99">
        <v>40.554768292682901</v>
      </c>
      <c r="OP23" s="99">
        <v>40.6325440900563</v>
      </c>
      <c r="OQ23" s="99">
        <v>40.710319887429598</v>
      </c>
      <c r="OR23" s="99">
        <v>40.788095684802997</v>
      </c>
      <c r="OS23" s="99">
        <v>40.865871482176402</v>
      </c>
      <c r="OT23" s="99">
        <v>40.943647279549701</v>
      </c>
      <c r="OU23" s="99">
        <v>41.021423076923099</v>
      </c>
      <c r="OV23" s="99">
        <v>41.099198874296398</v>
      </c>
      <c r="OW23" s="99">
        <v>41.176974671669797</v>
      </c>
      <c r="OX23" s="99">
        <v>41.254750469043103</v>
      </c>
      <c r="OY23" s="99">
        <v>41.332526266416501</v>
      </c>
      <c r="OZ23" s="99">
        <v>41.410302063789899</v>
      </c>
      <c r="PA23" s="99">
        <v>41.488077861163198</v>
      </c>
      <c r="PB23" s="99">
        <v>41.565853658536597</v>
      </c>
      <c r="PC23" s="99">
        <v>41.643629455909903</v>
      </c>
      <c r="PD23" s="99">
        <v>41.721405253283301</v>
      </c>
      <c r="PE23" s="99">
        <v>41.799181050656699</v>
      </c>
      <c r="PF23" s="99">
        <v>41.876956848029998</v>
      </c>
      <c r="PG23" s="99">
        <v>41.954732645403404</v>
      </c>
      <c r="PH23" s="99">
        <v>42.032508442776702</v>
      </c>
      <c r="PI23" s="99">
        <v>42.110284240150101</v>
      </c>
      <c r="PJ23" s="99">
        <v>42.1880600375234</v>
      </c>
      <c r="PK23" s="99">
        <v>42.265835834896798</v>
      </c>
      <c r="PL23" s="99">
        <v>42.343611632270203</v>
      </c>
      <c r="PM23" s="99">
        <v>42.421387429643502</v>
      </c>
      <c r="PN23" s="99">
        <v>42.499163227016901</v>
      </c>
      <c r="PO23" s="99">
        <v>42.5769390243902</v>
      </c>
      <c r="PP23" s="99">
        <v>42.654714821763598</v>
      </c>
      <c r="PQ23" s="99">
        <v>42.732490619137003</v>
      </c>
      <c r="PR23" s="99">
        <v>42.810266416510302</v>
      </c>
      <c r="PS23" s="99">
        <v>42.888042213883701</v>
      </c>
      <c r="PT23" s="99">
        <v>42.965818011256999</v>
      </c>
      <c r="PU23" s="99">
        <v>43.043593808630398</v>
      </c>
      <c r="PV23" s="99">
        <v>43.121369606003697</v>
      </c>
      <c r="PW23" s="99">
        <v>43.199145403377102</v>
      </c>
      <c r="PX23" s="99">
        <v>43.2769212007505</v>
      </c>
      <c r="PY23" s="99">
        <v>43.354696998123799</v>
      </c>
      <c r="PZ23" s="99">
        <v>43.432472795497198</v>
      </c>
      <c r="QA23" s="99">
        <v>43.510248592870497</v>
      </c>
      <c r="QB23" s="99">
        <v>43.588024390243902</v>
      </c>
      <c r="QC23" s="99">
        <v>43.6658001876173</v>
      </c>
      <c r="QD23" s="99">
        <v>43.743575984990599</v>
      </c>
      <c r="QE23" s="99">
        <v>43.821351782363998</v>
      </c>
      <c r="QF23" s="99">
        <v>43.899127579737304</v>
      </c>
      <c r="QG23" s="99">
        <v>43.976903377110702</v>
      </c>
      <c r="QH23" s="99">
        <v>44.054679174484001</v>
      </c>
      <c r="QI23" s="99">
        <v>44.132454971857399</v>
      </c>
      <c r="QJ23" s="99">
        <v>44.210230769230797</v>
      </c>
      <c r="QK23" s="99">
        <v>44.288006566604103</v>
      </c>
      <c r="QL23" s="99">
        <v>44.365782363977502</v>
      </c>
      <c r="QM23" s="99">
        <v>44.443558161350801</v>
      </c>
      <c r="QN23" s="99">
        <v>44.521333958724199</v>
      </c>
      <c r="QO23" s="99">
        <v>44.599109756097597</v>
      </c>
      <c r="QP23" s="99">
        <v>44.676885553470903</v>
      </c>
      <c r="QQ23" s="99">
        <v>44.754661350844302</v>
      </c>
      <c r="QR23" s="99">
        <v>44.832437148217601</v>
      </c>
      <c r="QS23" s="99">
        <v>44.910212945590999</v>
      </c>
      <c r="QT23" s="99">
        <v>44.987988742964397</v>
      </c>
      <c r="QU23" s="99">
        <v>45.065764540337703</v>
      </c>
      <c r="QV23" s="99">
        <v>45.143540337711102</v>
      </c>
      <c r="QW23" s="99">
        <v>45.2213161350844</v>
      </c>
      <c r="QX23" s="99">
        <v>45.299091932457799</v>
      </c>
      <c r="QY23" s="99">
        <v>45.376867729831098</v>
      </c>
      <c r="QZ23" s="99">
        <v>45.454643527204503</v>
      </c>
      <c r="RA23" s="99">
        <v>45.532419324577901</v>
      </c>
      <c r="RB23" s="99">
        <v>45.6101951219512</v>
      </c>
      <c r="RC23" s="99">
        <v>45.687970919324599</v>
      </c>
      <c r="RD23" s="99">
        <v>45.765746716697898</v>
      </c>
      <c r="RE23" s="99">
        <v>45.843522514071303</v>
      </c>
      <c r="RF23" s="99">
        <v>45.921298311444602</v>
      </c>
      <c r="RG23" s="99">
        <v>45.999074108818</v>
      </c>
      <c r="RH23" s="99">
        <v>46.076849906191399</v>
      </c>
      <c r="RI23" s="99">
        <v>46.154625703564697</v>
      </c>
      <c r="RJ23" s="99">
        <v>46.232401500938103</v>
      </c>
      <c r="RK23" s="99">
        <v>46.310177298311402</v>
      </c>
      <c r="RL23" s="99">
        <v>46.3879530956848</v>
      </c>
      <c r="RM23" s="99">
        <v>46.465728893058198</v>
      </c>
      <c r="RN23" s="99">
        <v>46.543504690431497</v>
      </c>
      <c r="RO23" s="99">
        <v>46.621280487804903</v>
      </c>
      <c r="RP23" s="99">
        <v>46.699056285178202</v>
      </c>
      <c r="RQ23" s="99">
        <v>46.7768320825516</v>
      </c>
      <c r="RR23" s="99">
        <v>46.854607879924998</v>
      </c>
      <c r="RS23" s="99">
        <v>46.932383677298297</v>
      </c>
      <c r="RT23" s="99">
        <v>47.010159474671703</v>
      </c>
      <c r="RU23" s="99">
        <v>47.087935272045002</v>
      </c>
      <c r="RV23" s="99">
        <v>47.1657110694184</v>
      </c>
      <c r="RW23" s="99">
        <v>47.243486866791699</v>
      </c>
      <c r="RX23" s="99">
        <v>47.321262664165097</v>
      </c>
      <c r="RY23" s="99">
        <v>47.399038461538503</v>
      </c>
      <c r="RZ23" s="99">
        <v>47.476814258911801</v>
      </c>
      <c r="SA23" s="99">
        <v>47.5545900562852</v>
      </c>
      <c r="SB23" s="99">
        <v>47.632365853658499</v>
      </c>
      <c r="SC23" s="99">
        <v>47.710141651031897</v>
      </c>
      <c r="SD23" s="99">
        <v>47.787917448405203</v>
      </c>
      <c r="SE23" s="99">
        <v>47.865693245778601</v>
      </c>
      <c r="SF23" s="99">
        <v>47.943469043152</v>
      </c>
      <c r="SG23" s="99">
        <v>48.021244840525299</v>
      </c>
      <c r="SH23" s="99">
        <v>48.099020637898697</v>
      </c>
      <c r="SI23" s="99">
        <v>48.176796435272003</v>
      </c>
      <c r="SJ23" s="99">
        <v>48.254572232645401</v>
      </c>
      <c r="SK23" s="99">
        <v>48.3323480300188</v>
      </c>
      <c r="SL23" s="99">
        <v>48.410123827392098</v>
      </c>
      <c r="SM23" s="99">
        <v>48.487899624765497</v>
      </c>
      <c r="SN23" s="99">
        <v>48.565675422138803</v>
      </c>
      <c r="SO23" s="99">
        <v>48.643451219512201</v>
      </c>
      <c r="SP23" s="99">
        <v>48.721227016885599</v>
      </c>
      <c r="SQ23" s="99">
        <v>48.799002814258898</v>
      </c>
      <c r="SR23" s="99">
        <v>48.876778611632297</v>
      </c>
      <c r="SS23" s="99">
        <v>48.954554409005603</v>
      </c>
      <c r="ST23" s="99">
        <v>49.032330206379001</v>
      </c>
      <c r="SU23" s="99">
        <v>49.1101060037523</v>
      </c>
      <c r="SV23" s="99">
        <v>49.187881801125698</v>
      </c>
      <c r="SW23" s="99">
        <v>49.265657598499097</v>
      </c>
      <c r="SX23" s="99">
        <v>49.343433395872403</v>
      </c>
      <c r="SY23" s="99">
        <v>49.421209193245801</v>
      </c>
      <c r="SZ23" s="99">
        <v>49.4989849906191</v>
      </c>
      <c r="TA23" s="99">
        <v>49.576760787992498</v>
      </c>
      <c r="TB23" s="99">
        <v>49.654536585365904</v>
      </c>
      <c r="TC23" s="99">
        <v>49.732312382739202</v>
      </c>
      <c r="TD23" s="99">
        <v>49.810088180112601</v>
      </c>
      <c r="TE23" s="99">
        <v>49.8878639774859</v>
      </c>
      <c r="TF23" s="99">
        <v>49.965639774859298</v>
      </c>
      <c r="TG23" s="99">
        <v>50.043415572232597</v>
      </c>
      <c r="TH23" s="99">
        <v>50.121191369606002</v>
      </c>
      <c r="TI23" s="99">
        <v>50.198967166979401</v>
      </c>
      <c r="TJ23" s="99">
        <v>50.2767429643527</v>
      </c>
      <c r="TK23" s="99">
        <v>50.354518761726098</v>
      </c>
      <c r="TL23" s="99">
        <v>50.432294559099397</v>
      </c>
      <c r="TM23" s="99">
        <v>50.510070356472802</v>
      </c>
      <c r="TN23" s="99">
        <v>50.587846153846101</v>
      </c>
      <c r="TO23" s="99">
        <v>50.665621951219499</v>
      </c>
      <c r="TP23" s="99">
        <v>50.743397748592898</v>
      </c>
      <c r="TQ23" s="99">
        <v>50.821173545966197</v>
      </c>
      <c r="TR23" s="99">
        <v>50.898949343339602</v>
      </c>
      <c r="TS23" s="99">
        <v>50.976725140712901</v>
      </c>
      <c r="TT23" s="99">
        <v>51.054500938086299</v>
      </c>
      <c r="TU23" s="99">
        <v>51.132276735459698</v>
      </c>
      <c r="TV23" s="99">
        <v>51.210052532832997</v>
      </c>
      <c r="TW23" s="99">
        <v>51.287828330206402</v>
      </c>
      <c r="TX23" s="99">
        <v>51.365604127579701</v>
      </c>
      <c r="TY23" s="99">
        <v>51.443379924953099</v>
      </c>
      <c r="TZ23" s="99">
        <v>51.521155722326498</v>
      </c>
      <c r="UA23" s="99">
        <v>51.598931519699804</v>
      </c>
      <c r="UB23" s="99">
        <v>51.676707317073202</v>
      </c>
      <c r="UC23" s="99">
        <v>51.754483114446501</v>
      </c>
      <c r="UD23" s="99">
        <v>51.832258911819899</v>
      </c>
      <c r="UE23" s="99">
        <v>51.910034709193198</v>
      </c>
      <c r="UF23" s="99">
        <v>51.987810506566603</v>
      </c>
      <c r="UG23" s="99">
        <v>52.065586303940002</v>
      </c>
      <c r="UH23" s="99">
        <v>52.143362101313301</v>
      </c>
      <c r="UI23" s="99">
        <v>52.221137898686699</v>
      </c>
      <c r="UJ23" s="99">
        <v>52.298913696059998</v>
      </c>
      <c r="UK23" s="99">
        <v>52.376689493433403</v>
      </c>
      <c r="UL23" s="99">
        <v>52.454465290806702</v>
      </c>
      <c r="UM23" s="99">
        <v>52.532241088180101</v>
      </c>
      <c r="UN23" s="99">
        <v>52.610016885553499</v>
      </c>
      <c r="UO23" s="99">
        <v>52.687792682926798</v>
      </c>
      <c r="UP23" s="99">
        <v>52.765568480300203</v>
      </c>
      <c r="UQ23" s="99">
        <v>52.843344277673502</v>
      </c>
      <c r="UR23" s="99">
        <v>52.9211200750469</v>
      </c>
      <c r="US23" s="99">
        <v>52.998895872420299</v>
      </c>
      <c r="UT23" s="99">
        <v>53.076671669793598</v>
      </c>
    </row>
    <row r="24" spans="1:566" x14ac:dyDescent="0.2">
      <c r="A24" s="89">
        <v>9</v>
      </c>
      <c r="B24" s="90">
        <v>9.1</v>
      </c>
      <c r="C24" s="90">
        <v>9.18</v>
      </c>
      <c r="D24" s="90">
        <v>9.25</v>
      </c>
      <c r="E24" s="90">
        <v>9.33</v>
      </c>
      <c r="F24" s="90">
        <v>9.41</v>
      </c>
      <c r="G24" s="90">
        <v>9.48</v>
      </c>
      <c r="H24" s="90">
        <v>9.56</v>
      </c>
      <c r="I24" s="90">
        <v>9.64</v>
      </c>
      <c r="J24" s="90">
        <v>9.7100000000000009</v>
      </c>
      <c r="K24" s="90">
        <v>9.7899999999999991</v>
      </c>
      <c r="L24" s="90">
        <v>9.8699999999999992</v>
      </c>
      <c r="M24" s="90">
        <v>9.9499999999999993</v>
      </c>
      <c r="N24" s="90">
        <v>10.02</v>
      </c>
      <c r="O24" s="90">
        <v>10.1</v>
      </c>
      <c r="P24" s="90">
        <v>10.18</v>
      </c>
      <c r="Q24" s="90">
        <v>10.25</v>
      </c>
      <c r="R24" s="90">
        <v>10.33</v>
      </c>
      <c r="S24" s="90">
        <v>10.41</v>
      </c>
      <c r="T24" s="90">
        <v>10.48</v>
      </c>
      <c r="U24" s="91">
        <v>10.56</v>
      </c>
      <c r="V24" s="90">
        <v>10.64</v>
      </c>
      <c r="W24" s="90">
        <v>10.71</v>
      </c>
      <c r="X24" s="90">
        <v>10.79</v>
      </c>
      <c r="Y24" s="90">
        <v>10.87</v>
      </c>
      <c r="Z24" s="90">
        <v>10.94</v>
      </c>
      <c r="AA24" s="90">
        <v>11.02</v>
      </c>
      <c r="AB24" s="90">
        <v>11.1</v>
      </c>
      <c r="AC24" s="90">
        <v>11.18</v>
      </c>
      <c r="AD24" s="90">
        <v>11.25</v>
      </c>
      <c r="AE24" s="90">
        <v>11.33</v>
      </c>
      <c r="AF24" s="90">
        <v>11.41</v>
      </c>
      <c r="AG24" s="90">
        <v>11.48</v>
      </c>
      <c r="AH24" s="90">
        <v>11.56</v>
      </c>
      <c r="AI24" s="90">
        <v>11.64</v>
      </c>
      <c r="AJ24" s="90">
        <v>11.71</v>
      </c>
      <c r="AK24" s="90">
        <v>11.79</v>
      </c>
      <c r="AL24" s="90">
        <v>11.87</v>
      </c>
      <c r="AM24" s="90">
        <v>11.94</v>
      </c>
      <c r="AN24" s="90">
        <v>12.02</v>
      </c>
      <c r="AO24" s="91">
        <v>12.1</v>
      </c>
      <c r="AP24" s="90">
        <v>12.174769230769201</v>
      </c>
      <c r="AQ24" s="90">
        <v>12.251648217635999</v>
      </c>
      <c r="AR24" s="90">
        <v>12.3285272045028</v>
      </c>
      <c r="AS24" s="90">
        <v>12.4054061913696</v>
      </c>
      <c r="AT24" s="90">
        <v>12.482285178236401</v>
      </c>
      <c r="AU24" s="90">
        <v>12.5591641651032</v>
      </c>
      <c r="AV24" s="90">
        <v>12.63604315197</v>
      </c>
      <c r="AW24" s="90">
        <v>12.712922138836801</v>
      </c>
      <c r="AX24" s="90">
        <v>12.789801125703599</v>
      </c>
      <c r="AY24" s="90">
        <v>12.8666801125704</v>
      </c>
      <c r="AZ24" s="90">
        <v>12.9435590994372</v>
      </c>
      <c r="BA24" s="90">
        <v>13.0204380863039</v>
      </c>
      <c r="BB24" s="90">
        <v>13.0973170731707</v>
      </c>
      <c r="BC24" s="90">
        <v>13.174196060037501</v>
      </c>
      <c r="BD24" s="90">
        <v>13.251075046904299</v>
      </c>
      <c r="BE24" s="90">
        <v>13.3279540337711</v>
      </c>
      <c r="BF24" s="90">
        <v>13.4048330206379</v>
      </c>
      <c r="BG24" s="90">
        <v>13.481712007504701</v>
      </c>
      <c r="BH24" s="90">
        <v>13.5585909943715</v>
      </c>
      <c r="BI24" s="91">
        <v>13.6354699812383</v>
      </c>
      <c r="BJ24" s="90">
        <v>13.712348968105101</v>
      </c>
      <c r="BK24" s="99">
        <v>13.789227954971899</v>
      </c>
      <c r="BL24" s="99">
        <v>13.8661069418387</v>
      </c>
      <c r="BM24" s="99">
        <v>13.942985928705401</v>
      </c>
      <c r="BN24" s="99">
        <v>14.019864915572199</v>
      </c>
      <c r="BO24" s="99">
        <v>14.096743902439</v>
      </c>
      <c r="BP24" s="99">
        <v>14.1736228893058</v>
      </c>
      <c r="BQ24" s="99">
        <v>14.250501876172599</v>
      </c>
      <c r="BR24" s="99">
        <v>14.3273808630394</v>
      </c>
      <c r="BS24" s="99">
        <v>14.4042598499062</v>
      </c>
      <c r="BT24" s="99">
        <v>14.481138836773001</v>
      </c>
      <c r="BU24" s="99">
        <v>14.558017823639799</v>
      </c>
      <c r="BV24" s="99">
        <v>14.6348968105066</v>
      </c>
      <c r="BW24" s="99">
        <v>14.7117757973734</v>
      </c>
      <c r="BX24" s="99">
        <v>14.788654784240199</v>
      </c>
      <c r="BY24" s="99">
        <v>14.8655337711069</v>
      </c>
      <c r="BZ24" s="99">
        <v>14.942412757973701</v>
      </c>
      <c r="CA24" s="99">
        <v>15.019291744840499</v>
      </c>
      <c r="CB24" s="99">
        <v>15.0961707317073</v>
      </c>
      <c r="CC24" s="99">
        <v>15.1730497185741</v>
      </c>
      <c r="CD24" s="99">
        <v>15.249928705440899</v>
      </c>
      <c r="CE24" s="99">
        <v>15.3268076923077</v>
      </c>
      <c r="CF24" s="99">
        <v>15.4036866791745</v>
      </c>
      <c r="CG24" s="99">
        <v>15.480565666041301</v>
      </c>
      <c r="CH24" s="99">
        <v>15.557444652908099</v>
      </c>
      <c r="CI24" s="99">
        <v>15.6343236397749</v>
      </c>
      <c r="CJ24" s="99">
        <v>15.7112026266417</v>
      </c>
      <c r="CK24" s="99">
        <v>15.7880816135084</v>
      </c>
      <c r="CL24" s="99">
        <v>15.8649606003752</v>
      </c>
      <c r="CM24" s="99">
        <v>15.941839587242001</v>
      </c>
      <c r="CN24" s="99">
        <v>16.018718574108799</v>
      </c>
      <c r="CO24" s="99">
        <v>16.095597560975602</v>
      </c>
      <c r="CP24" s="99">
        <v>16.1724765478424</v>
      </c>
      <c r="CQ24" s="99">
        <v>16.249355534709199</v>
      </c>
      <c r="CR24" s="99">
        <v>16.326234521576001</v>
      </c>
      <c r="CS24" s="99">
        <v>16.4031135084428</v>
      </c>
      <c r="CT24" s="99">
        <v>16.479992495309599</v>
      </c>
      <c r="CU24" s="99">
        <v>16.556871482176401</v>
      </c>
      <c r="CV24" s="99">
        <v>16.6337504690432</v>
      </c>
      <c r="CW24" s="99">
        <v>16.710629455909899</v>
      </c>
      <c r="CX24" s="99">
        <v>16.787508442776701</v>
      </c>
      <c r="CY24" s="99">
        <v>16.8643874296435</v>
      </c>
      <c r="CZ24" s="99">
        <v>16.941266416510299</v>
      </c>
      <c r="DA24" s="99">
        <v>17.018145403377101</v>
      </c>
      <c r="DB24" s="99">
        <v>17.0950243902439</v>
      </c>
      <c r="DC24" s="99">
        <v>17.171903377110699</v>
      </c>
      <c r="DD24" s="99">
        <v>17.248782363977501</v>
      </c>
      <c r="DE24" s="99">
        <v>17.3256613508443</v>
      </c>
      <c r="DF24" s="99">
        <v>17.402540337711098</v>
      </c>
      <c r="DG24" s="99">
        <v>17.479419324577901</v>
      </c>
      <c r="DH24" s="99">
        <v>17.5562983114446</v>
      </c>
      <c r="DI24" s="99">
        <v>17.633177298311399</v>
      </c>
      <c r="DJ24" s="99">
        <v>17.710056285178201</v>
      </c>
      <c r="DK24" s="99">
        <v>17.786935272045</v>
      </c>
      <c r="DL24" s="99">
        <v>17.863814258911798</v>
      </c>
      <c r="DM24" s="99">
        <v>17.940693245778601</v>
      </c>
      <c r="DN24" s="99">
        <v>18.017572232645399</v>
      </c>
      <c r="DO24" s="99">
        <v>18.094451219512202</v>
      </c>
      <c r="DP24" s="99">
        <v>18.171330206379</v>
      </c>
      <c r="DQ24" s="99">
        <v>18.248209193245799</v>
      </c>
      <c r="DR24" s="99">
        <v>18.325088180112601</v>
      </c>
      <c r="DS24" s="99">
        <v>18.4019671669794</v>
      </c>
      <c r="DT24" s="99">
        <v>18.478846153846099</v>
      </c>
      <c r="DU24" s="99">
        <v>18.555725140713001</v>
      </c>
      <c r="DV24" s="99">
        <v>18.6326041275797</v>
      </c>
      <c r="DW24" s="99">
        <v>18.709483114446499</v>
      </c>
      <c r="DX24" s="99">
        <v>18.786362101313301</v>
      </c>
      <c r="DY24" s="99">
        <v>18.8632410881801</v>
      </c>
      <c r="DZ24" s="99">
        <v>18.940120075046899</v>
      </c>
      <c r="EA24" s="99">
        <v>19.016999061913701</v>
      </c>
      <c r="EB24" s="99">
        <v>19.0938780487805</v>
      </c>
      <c r="EC24" s="99">
        <v>19.170757035647298</v>
      </c>
      <c r="ED24" s="99">
        <v>19.247636022514101</v>
      </c>
      <c r="EE24" s="99">
        <v>19.324515009380899</v>
      </c>
      <c r="EF24" s="99">
        <v>19.401393996247698</v>
      </c>
      <c r="EG24" s="99">
        <v>19.478272983114501</v>
      </c>
      <c r="EH24" s="99">
        <v>19.555151969981299</v>
      </c>
      <c r="EI24" s="99">
        <v>19.632030956848102</v>
      </c>
      <c r="EJ24" s="99">
        <v>19.7089099437149</v>
      </c>
      <c r="EK24" s="99">
        <v>19.785788930581699</v>
      </c>
      <c r="EL24" s="99">
        <v>19.862667917448402</v>
      </c>
      <c r="EM24" s="99">
        <v>19.9395469043152</v>
      </c>
      <c r="EN24" s="99">
        <v>20.016425891181999</v>
      </c>
      <c r="EO24" s="99">
        <v>20.093304878048801</v>
      </c>
      <c r="EP24" s="99">
        <v>20.1701838649156</v>
      </c>
      <c r="EQ24" s="99">
        <v>20.247062851782399</v>
      </c>
      <c r="ER24" s="99">
        <v>20.323941838649201</v>
      </c>
      <c r="ES24" s="99">
        <v>20.400820825516</v>
      </c>
      <c r="ET24" s="99">
        <v>20.477699812382799</v>
      </c>
      <c r="EU24" s="99">
        <v>20.554578799249601</v>
      </c>
      <c r="EV24" s="99">
        <v>20.6314577861164</v>
      </c>
      <c r="EW24" s="99">
        <v>20.708336772983198</v>
      </c>
      <c r="EX24" s="99">
        <v>20.785215759849901</v>
      </c>
      <c r="EY24" s="99">
        <v>20.8620947467167</v>
      </c>
      <c r="EZ24" s="99">
        <v>20.938973733583499</v>
      </c>
      <c r="FA24" s="99">
        <v>21.015852720450301</v>
      </c>
      <c r="FB24" s="99">
        <v>21.0927317073171</v>
      </c>
      <c r="FC24" s="99">
        <v>21.169610694183898</v>
      </c>
      <c r="FD24" s="99">
        <v>21.246489681050701</v>
      </c>
      <c r="FE24" s="99">
        <v>21.323368667917499</v>
      </c>
      <c r="FF24" s="99">
        <v>21.400247654784302</v>
      </c>
      <c r="FG24" s="99">
        <v>21.4771266416511</v>
      </c>
      <c r="FH24" s="99">
        <v>21.554005628517899</v>
      </c>
      <c r="FI24" s="99">
        <v>21.630884615384701</v>
      </c>
      <c r="FJ24" s="99">
        <v>21.707763602251401</v>
      </c>
      <c r="FK24" s="99">
        <v>21.784642589118199</v>
      </c>
      <c r="FL24" s="99">
        <v>21.861521575985002</v>
      </c>
      <c r="FM24" s="99">
        <v>21.9384005628518</v>
      </c>
      <c r="FN24" s="99">
        <v>22.015279549718599</v>
      </c>
      <c r="FO24" s="99">
        <v>22.092158536585401</v>
      </c>
      <c r="FP24" s="99">
        <v>22.1690375234522</v>
      </c>
      <c r="FQ24" s="99">
        <v>22.245916510318999</v>
      </c>
      <c r="FR24" s="99">
        <v>22.322795497185801</v>
      </c>
      <c r="FS24" s="99">
        <v>22.3996744840526</v>
      </c>
      <c r="FT24" s="99">
        <v>22.476553470919399</v>
      </c>
      <c r="FU24" s="99">
        <v>22.553432457786201</v>
      </c>
      <c r="FV24" s="99">
        <v>22.6303114446529</v>
      </c>
      <c r="FW24" s="99">
        <v>22.707190431519699</v>
      </c>
      <c r="FX24" s="99">
        <v>22.784069418386501</v>
      </c>
      <c r="FY24" s="99">
        <v>22.8609484052533</v>
      </c>
      <c r="FZ24" s="99">
        <v>22.937827392120099</v>
      </c>
      <c r="GA24" s="99">
        <v>23.014706378986901</v>
      </c>
      <c r="GB24" s="99">
        <v>23.0915853658537</v>
      </c>
      <c r="GC24" s="99">
        <v>23.168464352720498</v>
      </c>
      <c r="GD24" s="99">
        <v>23.245343339587301</v>
      </c>
      <c r="GE24" s="99">
        <v>23.322222326454099</v>
      </c>
      <c r="GF24" s="99">
        <v>23.399101313320902</v>
      </c>
      <c r="GG24" s="99">
        <v>23.4759803001877</v>
      </c>
      <c r="GH24" s="99">
        <v>23.5528592870544</v>
      </c>
      <c r="GI24" s="99">
        <v>23.629738273921198</v>
      </c>
      <c r="GJ24" s="99">
        <v>23.706617260788001</v>
      </c>
      <c r="GK24" s="99">
        <v>23.783496247654799</v>
      </c>
      <c r="GL24" s="99">
        <v>23.860375234521602</v>
      </c>
      <c r="GM24" s="99">
        <v>23.9372542213884</v>
      </c>
      <c r="GN24" s="99">
        <v>24.014133208255199</v>
      </c>
      <c r="GO24" s="99">
        <v>24.091012195122001</v>
      </c>
      <c r="GP24" s="99">
        <v>24.1678911819888</v>
      </c>
      <c r="GQ24" s="99">
        <v>24.244770168855599</v>
      </c>
      <c r="GR24" s="99">
        <v>24.321649155722401</v>
      </c>
      <c r="GS24" s="99">
        <v>24.3985281425892</v>
      </c>
      <c r="GT24" s="99">
        <v>24.475407129455899</v>
      </c>
      <c r="GU24" s="99">
        <v>24.552286116322701</v>
      </c>
      <c r="GV24" s="99">
        <v>24.6291651031895</v>
      </c>
      <c r="GW24" s="99">
        <v>24.706044090056299</v>
      </c>
      <c r="GX24" s="99">
        <v>24.782923076923101</v>
      </c>
      <c r="GY24" s="99">
        <v>24.8598020637899</v>
      </c>
      <c r="GZ24" s="99">
        <v>24.936681050656698</v>
      </c>
      <c r="HA24" s="99">
        <v>25.013560037523501</v>
      </c>
      <c r="HB24" s="99">
        <v>25.090439024390299</v>
      </c>
      <c r="HC24" s="99">
        <v>25.167318011257102</v>
      </c>
      <c r="HD24" s="99">
        <v>25.2441969981239</v>
      </c>
      <c r="HE24" s="99">
        <v>25.321075984990699</v>
      </c>
      <c r="HF24" s="99">
        <v>25.397954971857398</v>
      </c>
      <c r="HG24" s="99">
        <v>25.474833958724201</v>
      </c>
      <c r="HH24" s="99">
        <v>25.551712945590999</v>
      </c>
      <c r="HI24" s="99">
        <v>25.628591932457802</v>
      </c>
      <c r="HJ24" s="99">
        <v>25.7054709193246</v>
      </c>
      <c r="HK24" s="99">
        <v>25.782349906191399</v>
      </c>
      <c r="HL24" s="99">
        <v>25.859228893058201</v>
      </c>
      <c r="HM24" s="99">
        <v>25.936107879925</v>
      </c>
      <c r="HN24" s="99">
        <v>26.012986866791799</v>
      </c>
      <c r="HO24" s="99">
        <v>26.089865853658601</v>
      </c>
      <c r="HP24" s="99">
        <v>26.1667448405254</v>
      </c>
      <c r="HQ24" s="99">
        <v>26.243623827392199</v>
      </c>
      <c r="HR24" s="99">
        <v>26.320502814259001</v>
      </c>
      <c r="HS24" s="99">
        <v>26.3973818011257</v>
      </c>
      <c r="HT24" s="99">
        <v>26.474260787992499</v>
      </c>
      <c r="HU24" s="99">
        <v>26.551139774859301</v>
      </c>
      <c r="HV24" s="99">
        <v>26.6280187617261</v>
      </c>
      <c r="HW24" s="99">
        <v>26.704897748592899</v>
      </c>
      <c r="HX24" s="99">
        <v>26.781776735459701</v>
      </c>
      <c r="HY24" s="99">
        <v>26.8586557223265</v>
      </c>
      <c r="HZ24" s="99">
        <v>26.935534709193298</v>
      </c>
      <c r="IA24" s="99">
        <v>27.012413696060101</v>
      </c>
      <c r="IB24" s="99">
        <v>27.089292682926899</v>
      </c>
      <c r="IC24" s="99">
        <v>27.166171669793702</v>
      </c>
      <c r="ID24" s="99">
        <v>27.2430506566605</v>
      </c>
      <c r="IE24" s="99">
        <v>27.3199296435272</v>
      </c>
      <c r="IF24" s="99">
        <v>27.396808630393998</v>
      </c>
      <c r="IG24" s="99">
        <v>27.473687617260801</v>
      </c>
      <c r="IH24" s="99">
        <v>27.550566604127599</v>
      </c>
      <c r="II24" s="99">
        <v>27.627445590994402</v>
      </c>
      <c r="IJ24" s="99">
        <v>27.7043245778612</v>
      </c>
      <c r="IK24" s="99">
        <v>27.781203564727999</v>
      </c>
      <c r="IL24" s="99">
        <v>27.858082551594801</v>
      </c>
      <c r="IM24" s="99">
        <v>27.9349615384616</v>
      </c>
      <c r="IN24" s="99">
        <v>28.011840525328399</v>
      </c>
      <c r="IO24" s="99">
        <v>28.088719512195201</v>
      </c>
      <c r="IP24" s="99">
        <v>28.165598499062</v>
      </c>
      <c r="IQ24" s="99">
        <v>28.242477485928699</v>
      </c>
      <c r="IR24" s="99">
        <v>28.319356472795501</v>
      </c>
      <c r="IS24" s="99">
        <v>28.3962354596623</v>
      </c>
      <c r="IT24" s="99">
        <v>28.473114446529099</v>
      </c>
      <c r="IU24" s="99">
        <v>28.549993433395901</v>
      </c>
      <c r="IV24" s="99">
        <v>28.6268724202627</v>
      </c>
      <c r="IW24" s="99">
        <v>28.703751407129499</v>
      </c>
      <c r="IX24" s="99">
        <v>28.780630393996301</v>
      </c>
      <c r="IY24" s="99">
        <v>28.8575093808631</v>
      </c>
      <c r="IZ24" s="99">
        <v>28.934388367729898</v>
      </c>
      <c r="JA24" s="99">
        <v>29.011267354596701</v>
      </c>
      <c r="JB24" s="99">
        <v>29.088146341463499</v>
      </c>
      <c r="JC24" s="99">
        <v>29.165025328330199</v>
      </c>
      <c r="JD24" s="99">
        <v>29.241904315197001</v>
      </c>
      <c r="JE24" s="99">
        <v>29.3187833020638</v>
      </c>
      <c r="JF24" s="99">
        <v>29.395662288930598</v>
      </c>
      <c r="JG24" s="99">
        <v>29.472541275797401</v>
      </c>
      <c r="JH24" s="99">
        <v>29.549420262664199</v>
      </c>
      <c r="JI24" s="99">
        <v>29.626299249531002</v>
      </c>
      <c r="JJ24" s="99">
        <v>29.7031782363978</v>
      </c>
      <c r="JK24" s="99">
        <v>29.780057223264599</v>
      </c>
      <c r="JL24" s="99">
        <v>29.856936210131401</v>
      </c>
      <c r="JM24" s="99">
        <v>29.9338151969982</v>
      </c>
      <c r="JN24" s="99">
        <v>30.010694183864999</v>
      </c>
      <c r="JO24" s="99">
        <v>30.087573170731702</v>
      </c>
      <c r="JP24" s="99">
        <v>30.1644521575985</v>
      </c>
      <c r="JQ24" s="99">
        <v>30.241331144465299</v>
      </c>
      <c r="JR24" s="99">
        <v>30.318210131332101</v>
      </c>
      <c r="JS24" s="99">
        <v>30.3950891181989</v>
      </c>
      <c r="JT24" s="99">
        <v>30.471968105065699</v>
      </c>
      <c r="JU24" s="99">
        <v>30.548847091932501</v>
      </c>
      <c r="JV24" s="99">
        <v>30.6257260787993</v>
      </c>
      <c r="JW24" s="99">
        <v>30.702605065666098</v>
      </c>
      <c r="JX24" s="99">
        <v>30.779484052532901</v>
      </c>
      <c r="JY24" s="99">
        <v>30.856363039399699</v>
      </c>
      <c r="JZ24" s="99">
        <v>30.933242026266502</v>
      </c>
      <c r="KA24" s="99">
        <v>31.010121013133201</v>
      </c>
      <c r="KB24" s="99">
        <v>31.087</v>
      </c>
      <c r="KC24" s="99">
        <v>31.163878986866798</v>
      </c>
      <c r="KD24" s="99">
        <v>31.240757973733601</v>
      </c>
      <c r="KE24" s="99">
        <v>31.317636960600399</v>
      </c>
      <c r="KF24" s="99">
        <v>31.394515947467202</v>
      </c>
      <c r="KG24" s="99">
        <v>31.471394934334</v>
      </c>
      <c r="KH24" s="99">
        <v>31.548273921200799</v>
      </c>
      <c r="KI24" s="99">
        <v>31.625152908067601</v>
      </c>
      <c r="KJ24" s="99">
        <v>31.7020318949344</v>
      </c>
      <c r="KK24" s="99">
        <v>31.778910881801199</v>
      </c>
      <c r="KL24" s="99">
        <v>31.855789868668001</v>
      </c>
      <c r="KM24" s="99">
        <v>31.9326688555347</v>
      </c>
      <c r="KN24" s="99">
        <v>32.009547842401503</v>
      </c>
      <c r="KO24" s="99">
        <v>32.086426829268298</v>
      </c>
      <c r="KP24" s="99">
        <v>32.1633058161351</v>
      </c>
      <c r="KQ24" s="99">
        <v>32.240184803001902</v>
      </c>
      <c r="KR24" s="99">
        <v>32.317063789868698</v>
      </c>
      <c r="KS24" s="99">
        <v>32.3939427767355</v>
      </c>
      <c r="KT24" s="99">
        <v>32.470821763602302</v>
      </c>
      <c r="KU24" s="99">
        <v>32.547700750469097</v>
      </c>
      <c r="KV24" s="99">
        <v>32.6245797373359</v>
      </c>
      <c r="KW24" s="99">
        <v>32.701458724202702</v>
      </c>
      <c r="KX24" s="99">
        <v>32.778337711069497</v>
      </c>
      <c r="KY24" s="99">
        <v>32.8552166979362</v>
      </c>
      <c r="KZ24" s="99">
        <v>32.932095684803002</v>
      </c>
      <c r="LA24" s="99">
        <v>33.008974671669797</v>
      </c>
      <c r="LB24" s="99">
        <v>33.0858536585366</v>
      </c>
      <c r="LC24" s="99">
        <v>33.162732645403402</v>
      </c>
      <c r="LD24" s="99">
        <v>33.239611632270197</v>
      </c>
      <c r="LE24" s="99">
        <v>33.316490619136999</v>
      </c>
      <c r="LF24" s="99">
        <v>33.393369606003802</v>
      </c>
      <c r="LG24" s="99">
        <v>33.470248592870597</v>
      </c>
      <c r="LH24" s="99">
        <v>33.547127579737399</v>
      </c>
      <c r="LI24" s="99">
        <v>33.624006566604201</v>
      </c>
      <c r="LJ24" s="99">
        <v>33.700885553470997</v>
      </c>
      <c r="LK24" s="99">
        <v>33.777764540337699</v>
      </c>
      <c r="LL24" s="99">
        <v>33.854643527204502</v>
      </c>
      <c r="LM24" s="99">
        <v>33.931522514071297</v>
      </c>
      <c r="LN24" s="99">
        <v>34.008401500938099</v>
      </c>
      <c r="LO24" s="99">
        <v>34.085280487804901</v>
      </c>
      <c r="LP24" s="99">
        <v>34.162159474671697</v>
      </c>
      <c r="LQ24" s="99">
        <v>34.239038461538499</v>
      </c>
      <c r="LR24" s="99">
        <v>34.315917448405301</v>
      </c>
      <c r="LS24" s="99">
        <v>34.392796435272103</v>
      </c>
      <c r="LT24" s="99">
        <v>34.469675422138899</v>
      </c>
      <c r="LU24" s="99">
        <v>34.546554409005701</v>
      </c>
      <c r="LV24" s="99">
        <v>34.623433395872503</v>
      </c>
      <c r="LW24" s="99">
        <v>34.700312382739298</v>
      </c>
      <c r="LX24" s="99">
        <v>34.777191369606001</v>
      </c>
      <c r="LY24" s="99">
        <v>34.854070356472803</v>
      </c>
      <c r="LZ24" s="99">
        <v>34.930949343339599</v>
      </c>
      <c r="MA24" s="99">
        <v>35.007828330206401</v>
      </c>
      <c r="MB24" s="99">
        <v>35.084707317073203</v>
      </c>
      <c r="MC24" s="99">
        <v>35.161586303939998</v>
      </c>
      <c r="MD24" s="99">
        <v>35.238465290806801</v>
      </c>
      <c r="ME24" s="99">
        <v>35.315344277673603</v>
      </c>
      <c r="MF24" s="99">
        <v>35.392223264540398</v>
      </c>
      <c r="MG24" s="99">
        <v>35.4691022514072</v>
      </c>
      <c r="MH24" s="99">
        <v>35.545981238274003</v>
      </c>
      <c r="MI24" s="99">
        <v>35.622860225140798</v>
      </c>
      <c r="MJ24" s="99">
        <v>35.699739212007501</v>
      </c>
      <c r="MK24" s="99">
        <v>35.776618198874303</v>
      </c>
      <c r="ML24" s="99">
        <v>35.853497185741098</v>
      </c>
      <c r="MM24" s="99">
        <v>35.9303761726079</v>
      </c>
      <c r="MN24" s="99">
        <v>36.007255159474703</v>
      </c>
      <c r="MO24" s="99">
        <v>36.084134146341498</v>
      </c>
      <c r="MP24" s="99">
        <v>36.1610131332083</v>
      </c>
      <c r="MQ24" s="99">
        <v>36.237892120075102</v>
      </c>
      <c r="MR24" s="99">
        <v>36.314771106941897</v>
      </c>
      <c r="MS24" s="99">
        <v>36.3916500938087</v>
      </c>
      <c r="MT24" s="99">
        <v>36.468529080675502</v>
      </c>
      <c r="MU24" s="99">
        <v>36.545408067542297</v>
      </c>
      <c r="MV24" s="99">
        <v>36.622287054409</v>
      </c>
      <c r="MW24" s="99">
        <v>36.699166041275802</v>
      </c>
      <c r="MX24" s="99">
        <v>36.776045028142597</v>
      </c>
      <c r="MY24" s="99">
        <v>36.8529240150094</v>
      </c>
      <c r="MZ24" s="99">
        <v>36.929803001876202</v>
      </c>
      <c r="NA24" s="99">
        <v>37.006681988742997</v>
      </c>
      <c r="NB24" s="99">
        <v>37.083560975609799</v>
      </c>
      <c r="NC24" s="99">
        <v>37.160439962476602</v>
      </c>
      <c r="ND24" s="99">
        <v>37.237318949343397</v>
      </c>
      <c r="NE24" s="99">
        <v>37.314197936210199</v>
      </c>
      <c r="NF24" s="99">
        <v>37.391076923077001</v>
      </c>
      <c r="NG24" s="99">
        <v>37.467955909943797</v>
      </c>
      <c r="NH24" s="99">
        <v>37.544834896810499</v>
      </c>
      <c r="NI24" s="99">
        <v>37.621713883677302</v>
      </c>
      <c r="NJ24" s="99">
        <v>37.698592870544097</v>
      </c>
      <c r="NK24" s="99">
        <v>37.775471857410899</v>
      </c>
      <c r="NL24" s="99">
        <v>37.852350844277701</v>
      </c>
      <c r="NM24" s="99">
        <v>37.929229831144497</v>
      </c>
      <c r="NN24" s="99">
        <v>38.006108818011299</v>
      </c>
      <c r="NO24" s="99">
        <v>38.082987804878101</v>
      </c>
      <c r="NP24" s="99">
        <v>38.159866791744903</v>
      </c>
      <c r="NQ24" s="99">
        <v>38.236745778611699</v>
      </c>
      <c r="NR24" s="99">
        <v>38.313624765478501</v>
      </c>
      <c r="NS24" s="99">
        <v>38.390503752345303</v>
      </c>
      <c r="NT24" s="99">
        <v>38.467382739211999</v>
      </c>
      <c r="NU24" s="99">
        <v>38.544261726078801</v>
      </c>
      <c r="NV24" s="99">
        <v>38.621140712945603</v>
      </c>
      <c r="NW24" s="99">
        <v>38.698019699812399</v>
      </c>
      <c r="NX24" s="99">
        <v>38.774898686679201</v>
      </c>
      <c r="NY24" s="99">
        <v>38.851777673546003</v>
      </c>
      <c r="NZ24" s="99">
        <v>38.928656660412798</v>
      </c>
      <c r="OA24" s="99">
        <v>39.005535647279601</v>
      </c>
      <c r="OB24" s="99">
        <v>39.082414634146403</v>
      </c>
      <c r="OC24" s="99">
        <v>39.159293621013198</v>
      </c>
      <c r="OD24" s="99">
        <v>39.23617260788</v>
      </c>
      <c r="OE24" s="99">
        <v>39.313051594746803</v>
      </c>
      <c r="OF24" s="99">
        <v>39.389930581613498</v>
      </c>
      <c r="OG24" s="99">
        <v>39.466809568480301</v>
      </c>
      <c r="OH24" s="99">
        <v>39.543688555347103</v>
      </c>
      <c r="OI24" s="99">
        <v>39.620567542213898</v>
      </c>
      <c r="OJ24" s="99">
        <v>39.6974465290807</v>
      </c>
      <c r="OK24" s="99">
        <v>39.774325515947503</v>
      </c>
      <c r="OL24" s="99">
        <v>39.851204502814298</v>
      </c>
      <c r="OM24" s="99">
        <v>39.9280834896811</v>
      </c>
      <c r="ON24" s="99">
        <v>40.004962476547902</v>
      </c>
      <c r="OO24" s="99">
        <v>40.081841463414698</v>
      </c>
      <c r="OP24" s="99">
        <v>40.1587204502815</v>
      </c>
      <c r="OQ24" s="99">
        <v>40.235599437148302</v>
      </c>
      <c r="OR24" s="99">
        <v>40.312478424014998</v>
      </c>
      <c r="OS24" s="99">
        <v>40.3893574108818</v>
      </c>
      <c r="OT24" s="99">
        <v>40.466236397748602</v>
      </c>
      <c r="OU24" s="99">
        <v>40.543115384615398</v>
      </c>
      <c r="OV24" s="99">
        <v>40.6199943714822</v>
      </c>
      <c r="OW24" s="99">
        <v>40.696873358349002</v>
      </c>
      <c r="OX24" s="99">
        <v>40.773752345215797</v>
      </c>
      <c r="OY24" s="99">
        <v>40.8506313320826</v>
      </c>
      <c r="OZ24" s="99">
        <v>40.927510318949402</v>
      </c>
      <c r="PA24" s="99">
        <v>41.004389305816197</v>
      </c>
      <c r="PB24" s="99">
        <v>41.081268292682999</v>
      </c>
      <c r="PC24" s="99">
        <v>41.158147279549802</v>
      </c>
      <c r="PD24" s="99">
        <v>41.235026266416497</v>
      </c>
      <c r="PE24" s="99">
        <v>41.3119052532833</v>
      </c>
      <c r="PF24" s="99">
        <v>41.388784240150102</v>
      </c>
      <c r="PG24" s="99">
        <v>41.465663227016897</v>
      </c>
      <c r="PH24" s="99">
        <v>41.542542213883699</v>
      </c>
      <c r="PI24" s="99">
        <v>41.619421200750502</v>
      </c>
      <c r="PJ24" s="99">
        <v>41.696300187617297</v>
      </c>
      <c r="PK24" s="99">
        <v>41.773179174484099</v>
      </c>
      <c r="PL24" s="99">
        <v>41.850058161350901</v>
      </c>
      <c r="PM24" s="99">
        <v>41.926937148217696</v>
      </c>
      <c r="PN24" s="99">
        <v>42.003816135084499</v>
      </c>
      <c r="PO24" s="99">
        <v>42.080695121951301</v>
      </c>
      <c r="PP24" s="99">
        <v>42.157574108818103</v>
      </c>
      <c r="PQ24" s="99">
        <v>42.234453095684799</v>
      </c>
      <c r="PR24" s="99">
        <v>42.311332082551601</v>
      </c>
      <c r="PS24" s="99">
        <v>42.388211069418404</v>
      </c>
      <c r="PT24" s="99">
        <v>42.465090056285199</v>
      </c>
      <c r="PU24" s="99">
        <v>42.541969043152001</v>
      </c>
      <c r="PV24" s="99">
        <v>42.618848030018803</v>
      </c>
      <c r="PW24" s="99">
        <v>42.695727016885598</v>
      </c>
      <c r="PX24" s="99">
        <v>42.772606003752401</v>
      </c>
      <c r="PY24" s="99">
        <v>42.849484990619203</v>
      </c>
      <c r="PZ24" s="99">
        <v>42.926363977485998</v>
      </c>
      <c r="QA24" s="99">
        <v>43.0032429643528</v>
      </c>
      <c r="QB24" s="99">
        <v>43.080121951219603</v>
      </c>
      <c r="QC24" s="99">
        <v>43.157000938086298</v>
      </c>
      <c r="QD24" s="99">
        <v>43.233879924953101</v>
      </c>
      <c r="QE24" s="99">
        <v>43.310758911819903</v>
      </c>
      <c r="QF24" s="99">
        <v>43.387637898686698</v>
      </c>
      <c r="QG24" s="99">
        <v>43.4645168855535</v>
      </c>
      <c r="QH24" s="99">
        <v>43.541395872420303</v>
      </c>
      <c r="QI24" s="99">
        <v>43.618274859287098</v>
      </c>
      <c r="QJ24" s="99">
        <v>43.6951538461539</v>
      </c>
      <c r="QK24" s="99">
        <v>43.772032833020702</v>
      </c>
      <c r="QL24" s="99">
        <v>43.848911819887498</v>
      </c>
      <c r="QM24" s="99">
        <v>43.9257908067543</v>
      </c>
      <c r="QN24" s="99">
        <v>44.002669793621102</v>
      </c>
      <c r="QO24" s="99">
        <v>44.079548780487798</v>
      </c>
      <c r="QP24" s="99">
        <v>44.1564277673546</v>
      </c>
      <c r="QQ24" s="99">
        <v>44.233306754221402</v>
      </c>
      <c r="QR24" s="99">
        <v>44.310185741088198</v>
      </c>
      <c r="QS24" s="99">
        <v>44.387064727955</v>
      </c>
      <c r="QT24" s="99">
        <v>44.463943714821802</v>
      </c>
      <c r="QU24" s="99">
        <v>44.540822701688597</v>
      </c>
      <c r="QV24" s="99">
        <v>44.6177016885554</v>
      </c>
      <c r="QW24" s="99">
        <v>44.694580675422202</v>
      </c>
      <c r="QX24" s="99">
        <v>44.771459662288997</v>
      </c>
      <c r="QY24" s="99">
        <v>44.848338649155799</v>
      </c>
      <c r="QZ24" s="99">
        <v>44.925217636022602</v>
      </c>
      <c r="RA24" s="99">
        <v>45.002096622889297</v>
      </c>
      <c r="RB24" s="99">
        <v>45.0789756097561</v>
      </c>
      <c r="RC24" s="99">
        <v>45.155854596622902</v>
      </c>
      <c r="RD24" s="99">
        <v>45.232733583489697</v>
      </c>
      <c r="RE24" s="99">
        <v>45.309612570356499</v>
      </c>
      <c r="RF24" s="99">
        <v>45.386491557223302</v>
      </c>
      <c r="RG24" s="99">
        <v>45.463370544090097</v>
      </c>
      <c r="RH24" s="99">
        <v>45.540249530956899</v>
      </c>
      <c r="RI24" s="99">
        <v>45.617128517823701</v>
      </c>
      <c r="RJ24" s="99">
        <v>45.694007504690497</v>
      </c>
      <c r="RK24" s="99">
        <v>45.770886491557299</v>
      </c>
      <c r="RL24" s="99">
        <v>45.847765478424101</v>
      </c>
      <c r="RM24" s="99">
        <v>45.924644465290797</v>
      </c>
      <c r="RN24" s="99">
        <v>46.001523452157599</v>
      </c>
      <c r="RO24" s="99">
        <v>46.078402439024401</v>
      </c>
      <c r="RP24" s="99">
        <v>46.155281425891197</v>
      </c>
      <c r="RQ24" s="99">
        <v>46.232160412757999</v>
      </c>
      <c r="RR24" s="99">
        <v>46.309039399624801</v>
      </c>
      <c r="RS24" s="99">
        <v>46.385918386491603</v>
      </c>
      <c r="RT24" s="99">
        <v>46.462797373358399</v>
      </c>
      <c r="RU24" s="99">
        <v>46.539676360225201</v>
      </c>
      <c r="RV24" s="99">
        <v>46.616555347092003</v>
      </c>
      <c r="RW24" s="99">
        <v>46.693434333958798</v>
      </c>
      <c r="RX24" s="99">
        <v>46.770313320825601</v>
      </c>
      <c r="RY24" s="99">
        <v>46.847192307692303</v>
      </c>
      <c r="RZ24" s="99">
        <v>46.924071294559099</v>
      </c>
      <c r="SA24" s="99">
        <v>47.000950281425901</v>
      </c>
      <c r="SB24" s="99">
        <v>47.077829268292703</v>
      </c>
      <c r="SC24" s="99">
        <v>47.154708255159498</v>
      </c>
      <c r="SD24" s="99">
        <v>47.231587242026301</v>
      </c>
      <c r="SE24" s="99">
        <v>47.308466228893103</v>
      </c>
      <c r="SF24" s="99">
        <v>47.385345215759898</v>
      </c>
      <c r="SG24" s="99">
        <v>47.4622242026267</v>
      </c>
      <c r="SH24" s="99">
        <v>47.539103189493503</v>
      </c>
      <c r="SI24" s="99">
        <v>47.615982176360298</v>
      </c>
      <c r="SJ24" s="99">
        <v>47.6928611632271</v>
      </c>
      <c r="SK24" s="99">
        <v>47.769740150093803</v>
      </c>
      <c r="SL24" s="99">
        <v>47.846619136960598</v>
      </c>
      <c r="SM24" s="99">
        <v>47.9234981238274</v>
      </c>
      <c r="SN24" s="99">
        <v>48.000377110694203</v>
      </c>
      <c r="SO24" s="99">
        <v>48.077256097560998</v>
      </c>
      <c r="SP24" s="99">
        <v>48.1541350844278</v>
      </c>
      <c r="SQ24" s="99">
        <v>48.231014071294602</v>
      </c>
      <c r="SR24" s="99">
        <v>48.307893058161397</v>
      </c>
      <c r="SS24" s="99">
        <v>48.3847720450282</v>
      </c>
      <c r="ST24" s="99">
        <v>48.461651031895002</v>
      </c>
      <c r="SU24" s="99">
        <v>48.538530018761797</v>
      </c>
      <c r="SV24" s="99">
        <v>48.615409005628599</v>
      </c>
      <c r="SW24" s="99">
        <v>48.692287992495402</v>
      </c>
      <c r="SX24" s="99">
        <v>48.769166979362097</v>
      </c>
      <c r="SY24" s="99">
        <v>48.8460459662289</v>
      </c>
      <c r="SZ24" s="99">
        <v>48.922924953095702</v>
      </c>
      <c r="TA24" s="99">
        <v>48.999803939962497</v>
      </c>
      <c r="TB24" s="99">
        <v>49.076682926829299</v>
      </c>
      <c r="TC24" s="99">
        <v>49.153561913696102</v>
      </c>
      <c r="TD24" s="99">
        <v>49.230440900562897</v>
      </c>
      <c r="TE24" s="99">
        <v>49.307319887429699</v>
      </c>
      <c r="TF24" s="99">
        <v>49.384198874296501</v>
      </c>
      <c r="TG24" s="99">
        <v>49.461077861163297</v>
      </c>
      <c r="TH24" s="99">
        <v>49.537956848030099</v>
      </c>
      <c r="TI24" s="99">
        <v>49.614835834896901</v>
      </c>
      <c r="TJ24" s="99">
        <v>49.691714821763597</v>
      </c>
      <c r="TK24" s="99">
        <v>49.768593808630399</v>
      </c>
      <c r="TL24" s="99">
        <v>49.845472795497201</v>
      </c>
      <c r="TM24" s="99">
        <v>49.922351782363997</v>
      </c>
      <c r="TN24" s="99">
        <v>49.999230769230799</v>
      </c>
      <c r="TO24" s="99">
        <v>50.076109756097601</v>
      </c>
      <c r="TP24" s="99">
        <v>50.152988742964403</v>
      </c>
      <c r="TQ24" s="99">
        <v>50.229867729831199</v>
      </c>
      <c r="TR24" s="99">
        <v>50.306746716698001</v>
      </c>
      <c r="TS24" s="99">
        <v>50.383625703564803</v>
      </c>
      <c r="TT24" s="99">
        <v>50.460504690431598</v>
      </c>
      <c r="TU24" s="99">
        <v>50.537383677298401</v>
      </c>
      <c r="TV24" s="99">
        <v>50.614262664165103</v>
      </c>
      <c r="TW24" s="99">
        <v>50.691141651031899</v>
      </c>
      <c r="TX24" s="99">
        <v>50.768020637898701</v>
      </c>
      <c r="TY24" s="99">
        <v>50.844899624765503</v>
      </c>
      <c r="TZ24" s="99">
        <v>50.921778611632298</v>
      </c>
      <c r="UA24" s="99">
        <v>50.998657598499101</v>
      </c>
      <c r="UB24" s="99">
        <v>51.075536585365903</v>
      </c>
      <c r="UC24" s="99">
        <v>51.152415572232698</v>
      </c>
      <c r="UD24" s="99">
        <v>51.2292945590995</v>
      </c>
      <c r="UE24" s="99">
        <v>51.306173545966303</v>
      </c>
      <c r="UF24" s="99">
        <v>51.383052532833098</v>
      </c>
      <c r="UG24" s="99">
        <v>51.4599315196999</v>
      </c>
      <c r="UH24" s="99">
        <v>51.536810506566603</v>
      </c>
      <c r="UI24" s="99">
        <v>51.613689493433398</v>
      </c>
      <c r="UJ24" s="99">
        <v>51.6905684803002</v>
      </c>
      <c r="UK24" s="99">
        <v>51.767447467167003</v>
      </c>
      <c r="UL24" s="99">
        <v>51.844326454033798</v>
      </c>
      <c r="UM24" s="99">
        <v>51.9212054409006</v>
      </c>
      <c r="UN24" s="99">
        <v>51.998084427767402</v>
      </c>
      <c r="UO24" s="99">
        <v>52.074963414634198</v>
      </c>
      <c r="UP24" s="99">
        <v>52.151842401501</v>
      </c>
      <c r="UQ24" s="99">
        <v>52.228721388367802</v>
      </c>
      <c r="UR24" s="99">
        <v>52.305600375234597</v>
      </c>
      <c r="US24" s="99">
        <v>52.3824793621014</v>
      </c>
      <c r="UT24" s="99">
        <v>52.459358348968202</v>
      </c>
    </row>
    <row r="25" spans="1:566" x14ac:dyDescent="0.2">
      <c r="A25" s="89">
        <v>9.5</v>
      </c>
      <c r="B25" s="90">
        <v>8.99</v>
      </c>
      <c r="C25" s="90">
        <v>9.07</v>
      </c>
      <c r="D25" s="90">
        <v>9.14</v>
      </c>
      <c r="E25" s="90">
        <v>9.2200000000000006</v>
      </c>
      <c r="F25" s="90">
        <v>9.2899999999999991</v>
      </c>
      <c r="G25" s="90">
        <v>9.3699999999999992</v>
      </c>
      <c r="H25" s="90">
        <v>9.4499999999999993</v>
      </c>
      <c r="I25" s="90">
        <v>9.52</v>
      </c>
      <c r="J25" s="90">
        <v>9.6</v>
      </c>
      <c r="K25" s="90">
        <v>9.67</v>
      </c>
      <c r="L25" s="90">
        <v>9.75</v>
      </c>
      <c r="M25" s="90">
        <v>9.83</v>
      </c>
      <c r="N25" s="90">
        <v>9.9</v>
      </c>
      <c r="O25" s="90">
        <v>9.98</v>
      </c>
      <c r="P25" s="90">
        <v>10.050000000000001</v>
      </c>
      <c r="Q25" s="90">
        <v>10.130000000000001</v>
      </c>
      <c r="R25" s="90">
        <v>10.210000000000001</v>
      </c>
      <c r="S25" s="90">
        <v>10.28</v>
      </c>
      <c r="T25" s="90">
        <v>10.36</v>
      </c>
      <c r="U25" s="91">
        <v>10.43</v>
      </c>
      <c r="V25" s="90">
        <v>10.51</v>
      </c>
      <c r="W25" s="90">
        <v>10.59</v>
      </c>
      <c r="X25" s="90">
        <v>10.66</v>
      </c>
      <c r="Y25" s="90">
        <v>10.74</v>
      </c>
      <c r="Z25" s="90">
        <v>10.81</v>
      </c>
      <c r="AA25" s="90">
        <v>10.89</v>
      </c>
      <c r="AB25" s="90">
        <v>10.97</v>
      </c>
      <c r="AC25" s="90">
        <v>11.04</v>
      </c>
      <c r="AD25" s="90">
        <v>11.12</v>
      </c>
      <c r="AE25" s="90">
        <v>11.19</v>
      </c>
      <c r="AF25" s="90">
        <v>11.27</v>
      </c>
      <c r="AG25" s="90">
        <v>11.35</v>
      </c>
      <c r="AH25" s="90">
        <v>11.42</v>
      </c>
      <c r="AI25" s="90">
        <v>11.5</v>
      </c>
      <c r="AJ25" s="90">
        <v>11.57</v>
      </c>
      <c r="AK25" s="90">
        <v>11.65</v>
      </c>
      <c r="AL25" s="90">
        <v>11.73</v>
      </c>
      <c r="AM25" s="90">
        <v>11.8</v>
      </c>
      <c r="AN25" s="90">
        <v>11.88</v>
      </c>
      <c r="AO25" s="91">
        <v>11.95</v>
      </c>
      <c r="AP25" s="90">
        <v>12.029692307692301</v>
      </c>
      <c r="AQ25" s="90">
        <v>12.1056772983115</v>
      </c>
      <c r="AR25" s="90">
        <v>12.1816622889306</v>
      </c>
      <c r="AS25" s="90">
        <v>12.257647279549699</v>
      </c>
      <c r="AT25" s="90">
        <v>12.3336322701689</v>
      </c>
      <c r="AU25" s="90">
        <v>12.409617260788</v>
      </c>
      <c r="AV25" s="90">
        <v>12.4856022514071</v>
      </c>
      <c r="AW25" s="90">
        <v>12.561587242026301</v>
      </c>
      <c r="AX25" s="90">
        <v>12.6375722326454</v>
      </c>
      <c r="AY25" s="90">
        <v>12.7135572232645</v>
      </c>
      <c r="AZ25" s="90">
        <v>12.789542213883699</v>
      </c>
      <c r="BA25" s="90">
        <v>12.865527204502801</v>
      </c>
      <c r="BB25" s="90">
        <v>12.941512195122</v>
      </c>
      <c r="BC25" s="90">
        <v>13.017497185741099</v>
      </c>
      <c r="BD25" s="90">
        <v>13.093482176360199</v>
      </c>
      <c r="BE25" s="90">
        <v>13.1694671669794</v>
      </c>
      <c r="BF25" s="90">
        <v>13.2454521575985</v>
      </c>
      <c r="BG25" s="90">
        <v>13.321437148217599</v>
      </c>
      <c r="BH25" s="90">
        <v>13.3974221388368</v>
      </c>
      <c r="BI25" s="91">
        <v>13.4734071294559</v>
      </c>
      <c r="BJ25" s="90">
        <v>13.549392120075</v>
      </c>
      <c r="BK25" s="99">
        <v>13.625377110694201</v>
      </c>
      <c r="BL25" s="99">
        <v>13.7013621013133</v>
      </c>
      <c r="BM25" s="99">
        <v>13.7773470919325</v>
      </c>
      <c r="BN25" s="99">
        <v>13.853332082551599</v>
      </c>
      <c r="BO25" s="99">
        <v>13.929317073170701</v>
      </c>
      <c r="BP25" s="99">
        <v>14.0053020637899</v>
      </c>
      <c r="BQ25" s="99">
        <v>14.081287054409</v>
      </c>
      <c r="BR25" s="99">
        <v>14.157272045028099</v>
      </c>
      <c r="BS25" s="99">
        <v>14.2332570356473</v>
      </c>
      <c r="BT25" s="99">
        <v>14.3092420262664</v>
      </c>
      <c r="BU25" s="99">
        <v>14.385227016885599</v>
      </c>
      <c r="BV25" s="99">
        <v>14.461212007504701</v>
      </c>
      <c r="BW25" s="99">
        <v>14.5371969981238</v>
      </c>
      <c r="BX25" s="99">
        <v>14.613181988742999</v>
      </c>
      <c r="BY25" s="99">
        <v>14.689166979362099</v>
      </c>
      <c r="BZ25" s="99">
        <v>14.765151969981201</v>
      </c>
      <c r="CA25" s="99">
        <v>14.8411369606004</v>
      </c>
      <c r="CB25" s="99">
        <v>14.917121951219499</v>
      </c>
      <c r="CC25" s="99">
        <v>14.9931069418387</v>
      </c>
      <c r="CD25" s="99">
        <v>15.0690919324578</v>
      </c>
      <c r="CE25" s="99">
        <v>15.1450769230769</v>
      </c>
      <c r="CF25" s="99">
        <v>15.221061913696101</v>
      </c>
      <c r="CG25" s="99">
        <v>15.2970469043152</v>
      </c>
      <c r="CH25" s="99">
        <v>15.3730318949343</v>
      </c>
      <c r="CI25" s="99">
        <v>15.449016885553499</v>
      </c>
      <c r="CJ25" s="99">
        <v>15.525001876172601</v>
      </c>
      <c r="CK25" s="99">
        <v>15.6009868667918</v>
      </c>
      <c r="CL25" s="99">
        <v>15.6769718574109</v>
      </c>
      <c r="CM25" s="99">
        <v>15.752956848029999</v>
      </c>
      <c r="CN25" s="99">
        <v>15.8289418386492</v>
      </c>
      <c r="CO25" s="99">
        <v>15.9049268292683</v>
      </c>
      <c r="CP25" s="99">
        <v>15.9809118198874</v>
      </c>
      <c r="CQ25" s="99">
        <v>16.056896810506601</v>
      </c>
      <c r="CR25" s="99">
        <v>16.132881801125698</v>
      </c>
      <c r="CS25" s="99">
        <v>16.2088667917448</v>
      </c>
      <c r="CT25" s="99">
        <v>16.284851782364001</v>
      </c>
      <c r="CU25" s="99">
        <v>16.360836772983099</v>
      </c>
      <c r="CV25" s="99">
        <v>16.4368217636023</v>
      </c>
      <c r="CW25" s="99">
        <v>16.512806754221401</v>
      </c>
      <c r="CX25" s="99">
        <v>16.588791744840499</v>
      </c>
      <c r="CY25" s="99">
        <v>16.6647767354597</v>
      </c>
      <c r="CZ25" s="99">
        <v>16.740761726078802</v>
      </c>
      <c r="DA25" s="99">
        <v>16.816746716697899</v>
      </c>
      <c r="DB25" s="99">
        <v>16.8927317073171</v>
      </c>
      <c r="DC25" s="99">
        <v>16.968716697936198</v>
      </c>
      <c r="DD25" s="99">
        <v>17.0447016885553</v>
      </c>
      <c r="DE25" s="99">
        <v>17.120686679174501</v>
      </c>
      <c r="DF25" s="99">
        <v>17.196671669793599</v>
      </c>
      <c r="DG25" s="99">
        <v>17.2726566604128</v>
      </c>
      <c r="DH25" s="99">
        <v>17.348641651031901</v>
      </c>
      <c r="DI25" s="99">
        <v>17.424626641650999</v>
      </c>
      <c r="DJ25" s="99">
        <v>17.5006116322702</v>
      </c>
      <c r="DK25" s="99">
        <v>17.576596622889301</v>
      </c>
      <c r="DL25" s="99">
        <v>17.652581613508399</v>
      </c>
      <c r="DM25" s="99">
        <v>17.7285666041276</v>
      </c>
      <c r="DN25" s="99">
        <v>17.804551594746702</v>
      </c>
      <c r="DO25" s="99">
        <v>17.8805365853658</v>
      </c>
      <c r="DP25" s="99">
        <v>17.956521575985001</v>
      </c>
      <c r="DQ25" s="99">
        <v>18.032506566604098</v>
      </c>
      <c r="DR25" s="99">
        <v>18.108491557223299</v>
      </c>
      <c r="DS25" s="99">
        <v>18.184476547842401</v>
      </c>
      <c r="DT25" s="99">
        <v>18.260461538461499</v>
      </c>
      <c r="DU25" s="99">
        <v>18.3364465290807</v>
      </c>
      <c r="DV25" s="99">
        <v>18.412431519699801</v>
      </c>
      <c r="DW25" s="99">
        <v>18.488416510318899</v>
      </c>
      <c r="DX25" s="99">
        <v>18.5644015009381</v>
      </c>
      <c r="DY25" s="99">
        <v>18.640386491557202</v>
      </c>
      <c r="DZ25" s="99">
        <v>18.716371482176399</v>
      </c>
      <c r="EA25" s="99">
        <v>18.7923564727955</v>
      </c>
      <c r="EB25" s="99">
        <v>18.868341463414598</v>
      </c>
      <c r="EC25" s="99">
        <v>18.944326454033799</v>
      </c>
      <c r="ED25" s="99">
        <v>19.020311444652901</v>
      </c>
      <c r="EE25" s="99">
        <v>19.096296435271999</v>
      </c>
      <c r="EF25" s="99">
        <v>19.1722814258912</v>
      </c>
      <c r="EG25" s="99">
        <v>19.248266416510301</v>
      </c>
      <c r="EH25" s="99">
        <v>19.324251407129399</v>
      </c>
      <c r="EI25" s="99">
        <v>19.4002363977486</v>
      </c>
      <c r="EJ25" s="99">
        <v>19.476221388367701</v>
      </c>
      <c r="EK25" s="99">
        <v>19.552206378986799</v>
      </c>
      <c r="EL25" s="99">
        <v>19.628191369606</v>
      </c>
      <c r="EM25" s="99">
        <v>19.704176360225102</v>
      </c>
      <c r="EN25" s="99">
        <v>19.7801613508442</v>
      </c>
      <c r="EO25" s="99">
        <v>19.856146341463401</v>
      </c>
      <c r="EP25" s="99">
        <v>19.932131332082498</v>
      </c>
      <c r="EQ25" s="99">
        <v>20.008116322701699</v>
      </c>
      <c r="ER25" s="99">
        <v>20.084101313320801</v>
      </c>
      <c r="ES25" s="99">
        <v>20.160086303939899</v>
      </c>
      <c r="ET25" s="99">
        <v>20.2360712945591</v>
      </c>
      <c r="EU25" s="99">
        <v>20.312056285178201</v>
      </c>
      <c r="EV25" s="99">
        <v>20.388041275797299</v>
      </c>
      <c r="EW25" s="99">
        <v>20.4640262664165</v>
      </c>
      <c r="EX25" s="99">
        <v>20.540011257035601</v>
      </c>
      <c r="EY25" s="99">
        <v>20.615996247654799</v>
      </c>
      <c r="EZ25" s="99">
        <v>20.6919812382739</v>
      </c>
      <c r="FA25" s="99">
        <v>20.767966228892998</v>
      </c>
      <c r="FB25" s="99">
        <v>20.843951219512199</v>
      </c>
      <c r="FC25" s="99">
        <v>20.919936210131301</v>
      </c>
      <c r="FD25" s="99">
        <v>20.995921200750399</v>
      </c>
      <c r="FE25" s="99">
        <v>21.0719061913696</v>
      </c>
      <c r="FF25" s="99">
        <v>21.147891181988701</v>
      </c>
      <c r="FG25" s="99">
        <v>21.223876172607898</v>
      </c>
      <c r="FH25" s="99">
        <v>21.299861163227</v>
      </c>
      <c r="FI25" s="99">
        <v>21.375846153846101</v>
      </c>
      <c r="FJ25" s="99">
        <v>21.451831144465299</v>
      </c>
      <c r="FK25" s="99">
        <v>21.5278161350844</v>
      </c>
      <c r="FL25" s="99">
        <v>21.603801125703502</v>
      </c>
      <c r="FM25" s="99">
        <v>21.679786116322699</v>
      </c>
      <c r="FN25" s="99">
        <v>21.7557711069418</v>
      </c>
      <c r="FO25" s="99">
        <v>21.831756097560898</v>
      </c>
      <c r="FP25" s="99">
        <v>21.907741088180099</v>
      </c>
      <c r="FQ25" s="99">
        <v>21.983726078799201</v>
      </c>
      <c r="FR25" s="99">
        <v>22.059711069418402</v>
      </c>
      <c r="FS25" s="99">
        <v>22.1356960600375</v>
      </c>
      <c r="FT25" s="99">
        <v>22.211681050656601</v>
      </c>
      <c r="FU25" s="99">
        <v>22.287666041275799</v>
      </c>
      <c r="FV25" s="99">
        <v>22.3636510318949</v>
      </c>
      <c r="FW25" s="99">
        <v>22.439636022514001</v>
      </c>
      <c r="FX25" s="99">
        <v>22.515621013133199</v>
      </c>
      <c r="FY25" s="99">
        <v>22.5916060037523</v>
      </c>
      <c r="FZ25" s="99">
        <v>22.667590994371501</v>
      </c>
      <c r="GA25" s="99">
        <v>22.743575984990599</v>
      </c>
      <c r="GB25" s="99">
        <v>22.819560975609701</v>
      </c>
      <c r="GC25" s="99">
        <v>22.895545966228902</v>
      </c>
      <c r="GD25" s="99">
        <v>22.971530956848</v>
      </c>
      <c r="GE25" s="99">
        <v>23.047515947467101</v>
      </c>
      <c r="GF25" s="99">
        <v>23.123500938086298</v>
      </c>
      <c r="GG25" s="99">
        <v>23.1994859287054</v>
      </c>
      <c r="GH25" s="99">
        <v>23.275470919324501</v>
      </c>
      <c r="GI25" s="99">
        <v>23.351455909943699</v>
      </c>
      <c r="GJ25" s="99">
        <v>23.4274409005628</v>
      </c>
      <c r="GK25" s="99">
        <v>23.503425891182001</v>
      </c>
      <c r="GL25" s="99">
        <v>23.579410881801099</v>
      </c>
      <c r="GM25" s="99">
        <v>23.6553958724202</v>
      </c>
      <c r="GN25" s="99">
        <v>23.731380863039401</v>
      </c>
      <c r="GO25" s="99">
        <v>23.807365853658499</v>
      </c>
      <c r="GP25" s="99">
        <v>23.883350844277601</v>
      </c>
      <c r="GQ25" s="99">
        <v>23.959335834896802</v>
      </c>
      <c r="GR25" s="99">
        <v>24.0353208255159</v>
      </c>
      <c r="GS25" s="99">
        <v>24.111305816135101</v>
      </c>
      <c r="GT25" s="99">
        <v>24.187290806754199</v>
      </c>
      <c r="GU25" s="99">
        <v>24.2632757973733</v>
      </c>
      <c r="GV25" s="99">
        <v>24.339260787992501</v>
      </c>
      <c r="GW25" s="99">
        <v>24.415245778611599</v>
      </c>
      <c r="GX25" s="99">
        <v>24.4912307692307</v>
      </c>
      <c r="GY25" s="99">
        <v>24.567215759849901</v>
      </c>
      <c r="GZ25" s="99">
        <v>24.643200750468999</v>
      </c>
      <c r="HA25" s="99">
        <v>24.7191857410882</v>
      </c>
      <c r="HB25" s="99">
        <v>24.795170731707302</v>
      </c>
      <c r="HC25" s="99">
        <v>24.871155722326399</v>
      </c>
      <c r="HD25" s="99">
        <v>24.9471407129456</v>
      </c>
      <c r="HE25" s="99">
        <v>25.023125703564698</v>
      </c>
      <c r="HF25" s="99">
        <v>25.0991106941838</v>
      </c>
      <c r="HG25" s="99">
        <v>25.175095684803001</v>
      </c>
      <c r="HH25" s="99">
        <v>25.251080675422099</v>
      </c>
      <c r="HI25" s="99">
        <v>25.3270656660412</v>
      </c>
      <c r="HJ25" s="99">
        <v>25.403050656660401</v>
      </c>
      <c r="HK25" s="99">
        <v>25.479035647279499</v>
      </c>
      <c r="HL25" s="99">
        <v>25.5550206378987</v>
      </c>
      <c r="HM25" s="99">
        <v>25.631005628517801</v>
      </c>
      <c r="HN25" s="99">
        <v>25.706990619136899</v>
      </c>
      <c r="HO25" s="99">
        <v>25.7829756097561</v>
      </c>
      <c r="HP25" s="99">
        <v>25.858960600375202</v>
      </c>
      <c r="HQ25" s="99">
        <v>25.9349455909943</v>
      </c>
      <c r="HR25" s="99">
        <v>26.010930581613501</v>
      </c>
      <c r="HS25" s="99">
        <v>26.086915572232598</v>
      </c>
      <c r="HT25" s="99">
        <v>26.162900562851799</v>
      </c>
      <c r="HU25" s="99">
        <v>26.238885553470901</v>
      </c>
      <c r="HV25" s="99">
        <v>26.314870544089999</v>
      </c>
      <c r="HW25" s="99">
        <v>26.3908555347092</v>
      </c>
      <c r="HX25" s="99">
        <v>26.466840525328301</v>
      </c>
      <c r="HY25" s="99">
        <v>26.542825515947399</v>
      </c>
      <c r="HZ25" s="99">
        <v>26.6188105065666</v>
      </c>
      <c r="IA25" s="99">
        <v>26.694795497185702</v>
      </c>
      <c r="IB25" s="99">
        <v>26.770780487804799</v>
      </c>
      <c r="IC25" s="99">
        <v>26.846765478424</v>
      </c>
      <c r="ID25" s="99">
        <v>26.922750469043098</v>
      </c>
      <c r="IE25" s="99">
        <v>26.998735459662299</v>
      </c>
      <c r="IF25" s="99">
        <v>27.074720450281401</v>
      </c>
      <c r="IG25" s="99">
        <v>27.150705440900499</v>
      </c>
      <c r="IH25" s="99">
        <v>27.2266904315197</v>
      </c>
      <c r="II25" s="99">
        <v>27.302675422138801</v>
      </c>
      <c r="IJ25" s="99">
        <v>27.378660412757899</v>
      </c>
      <c r="IK25" s="99">
        <v>27.4546454033771</v>
      </c>
      <c r="IL25" s="99">
        <v>27.530630393996201</v>
      </c>
      <c r="IM25" s="99">
        <v>27.606615384615399</v>
      </c>
      <c r="IN25" s="99">
        <v>27.6826003752345</v>
      </c>
      <c r="IO25" s="99">
        <v>27.758585365853602</v>
      </c>
      <c r="IP25" s="99">
        <v>27.834570356472799</v>
      </c>
      <c r="IQ25" s="99">
        <v>27.910555347091901</v>
      </c>
      <c r="IR25" s="99">
        <v>27.986540337710998</v>
      </c>
      <c r="IS25" s="99">
        <v>28.062525328330199</v>
      </c>
      <c r="IT25" s="99">
        <v>28.138510318949301</v>
      </c>
      <c r="IU25" s="99">
        <v>28.214495309568498</v>
      </c>
      <c r="IV25" s="99">
        <v>28.2904803001876</v>
      </c>
      <c r="IW25" s="99">
        <v>28.366465290806701</v>
      </c>
      <c r="IX25" s="99">
        <v>28.442450281425899</v>
      </c>
      <c r="IY25" s="99">
        <v>28.518435272045</v>
      </c>
      <c r="IZ25" s="99">
        <v>28.594420262664102</v>
      </c>
      <c r="JA25" s="99">
        <v>28.670405253283299</v>
      </c>
      <c r="JB25" s="99">
        <v>28.7463902439024</v>
      </c>
      <c r="JC25" s="99">
        <v>28.822375234521498</v>
      </c>
      <c r="JD25" s="99">
        <v>28.898360225140699</v>
      </c>
      <c r="JE25" s="99">
        <v>28.974345215759801</v>
      </c>
      <c r="JF25" s="99">
        <v>29.050330206379002</v>
      </c>
      <c r="JG25" s="99">
        <v>29.1263151969981</v>
      </c>
      <c r="JH25" s="99">
        <v>29.202300187617201</v>
      </c>
      <c r="JI25" s="99">
        <v>29.278285178236398</v>
      </c>
      <c r="JJ25" s="99">
        <v>29.3542701688555</v>
      </c>
      <c r="JK25" s="99">
        <v>29.430255159474601</v>
      </c>
      <c r="JL25" s="99">
        <v>29.506240150093799</v>
      </c>
      <c r="JM25" s="99">
        <v>29.5822251407129</v>
      </c>
      <c r="JN25" s="99">
        <v>29.658210131332101</v>
      </c>
      <c r="JO25" s="99">
        <v>29.734195121951199</v>
      </c>
      <c r="JP25" s="99">
        <v>29.810180112570301</v>
      </c>
      <c r="JQ25" s="99">
        <v>29.886165103189501</v>
      </c>
      <c r="JR25" s="99">
        <v>29.962150093808599</v>
      </c>
      <c r="JS25" s="99">
        <v>30.038135084427701</v>
      </c>
      <c r="JT25" s="99">
        <v>30.114120075046898</v>
      </c>
      <c r="JU25" s="99">
        <v>30.190105065666</v>
      </c>
      <c r="JV25" s="99">
        <v>30.266090056285201</v>
      </c>
      <c r="JW25" s="99">
        <v>30.342075046904299</v>
      </c>
      <c r="JX25" s="99">
        <v>30.4180600375234</v>
      </c>
      <c r="JY25" s="99">
        <v>30.494045028142601</v>
      </c>
      <c r="JZ25" s="99">
        <v>30.570030018761699</v>
      </c>
      <c r="KA25" s="99">
        <v>30.6460150093808</v>
      </c>
      <c r="KB25" s="99">
        <v>30.722000000000001</v>
      </c>
      <c r="KC25" s="99">
        <v>30.797984990619099</v>
      </c>
      <c r="KD25" s="99">
        <v>30.873969981238201</v>
      </c>
      <c r="KE25" s="99">
        <v>30.949954971857402</v>
      </c>
      <c r="KF25" s="99">
        <v>31.0259399624765</v>
      </c>
      <c r="KG25" s="99">
        <v>31.1019249530957</v>
      </c>
      <c r="KH25" s="99">
        <v>31.177909943714798</v>
      </c>
      <c r="KI25" s="99">
        <v>31.2538949343339</v>
      </c>
      <c r="KJ25" s="99">
        <v>31.329879924953101</v>
      </c>
      <c r="KK25" s="99">
        <v>31.405864915572199</v>
      </c>
      <c r="KL25" s="99">
        <v>31.4818499061913</v>
      </c>
      <c r="KM25" s="99">
        <v>31.557834896810501</v>
      </c>
      <c r="KN25" s="99">
        <v>31.633819887429599</v>
      </c>
      <c r="KO25" s="99">
        <v>31.7098048780488</v>
      </c>
      <c r="KP25" s="99">
        <v>31.785789868667901</v>
      </c>
      <c r="KQ25" s="99">
        <v>31.861774859286999</v>
      </c>
      <c r="KR25" s="99">
        <v>31.9377598499062</v>
      </c>
      <c r="KS25" s="99">
        <v>32.013744840525298</v>
      </c>
      <c r="KT25" s="99">
        <v>32.089729831144403</v>
      </c>
      <c r="KU25" s="99">
        <v>32.165714821763601</v>
      </c>
      <c r="KV25" s="99">
        <v>32.241699812382699</v>
      </c>
      <c r="KW25" s="99">
        <v>32.317684803001903</v>
      </c>
      <c r="KX25" s="99">
        <v>32.393669793621001</v>
      </c>
      <c r="KY25" s="99">
        <v>32.469654784240099</v>
      </c>
      <c r="KZ25" s="99">
        <v>32.545639774859303</v>
      </c>
      <c r="LA25" s="99">
        <v>32.621624765478401</v>
      </c>
      <c r="LB25" s="99">
        <v>32.697609756097499</v>
      </c>
      <c r="LC25" s="99">
        <v>32.773594746716697</v>
      </c>
      <c r="LD25" s="99">
        <v>32.849579737335802</v>
      </c>
      <c r="LE25" s="99">
        <v>32.9255647279549</v>
      </c>
      <c r="LF25" s="99">
        <v>33.001549718574097</v>
      </c>
      <c r="LG25" s="99">
        <v>33.077534709193202</v>
      </c>
      <c r="LH25" s="99">
        <v>33.153519699812399</v>
      </c>
      <c r="LI25" s="99">
        <v>33.229504690431497</v>
      </c>
      <c r="LJ25" s="99">
        <v>33.305489681050602</v>
      </c>
      <c r="LK25" s="99">
        <v>33.3814746716698</v>
      </c>
      <c r="LL25" s="99">
        <v>33.457459662288898</v>
      </c>
      <c r="LM25" s="99">
        <v>33.533444652908003</v>
      </c>
      <c r="LN25" s="99">
        <v>33.6094296435272</v>
      </c>
      <c r="LO25" s="99">
        <v>33.685414634146298</v>
      </c>
      <c r="LP25" s="99">
        <v>33.761399624765403</v>
      </c>
      <c r="LQ25" s="99">
        <v>33.8373846153846</v>
      </c>
      <c r="LR25" s="99">
        <v>33.913369606003698</v>
      </c>
      <c r="LS25" s="99">
        <v>33.989354596622903</v>
      </c>
      <c r="LT25" s="99">
        <v>34.065339587242001</v>
      </c>
      <c r="LU25" s="99">
        <v>34.141324577861099</v>
      </c>
      <c r="LV25" s="99">
        <v>34.217309568480303</v>
      </c>
      <c r="LW25" s="99">
        <v>34.293294559099401</v>
      </c>
      <c r="LX25" s="99">
        <v>34.369279549718499</v>
      </c>
      <c r="LY25" s="99">
        <v>34.445264540337703</v>
      </c>
      <c r="LZ25" s="99">
        <v>34.521249530956801</v>
      </c>
      <c r="MA25" s="99">
        <v>34.597234521575999</v>
      </c>
      <c r="MB25" s="99">
        <v>34.673219512195097</v>
      </c>
      <c r="MC25" s="99">
        <v>34.749204502814202</v>
      </c>
      <c r="MD25" s="99">
        <v>34.825189493433399</v>
      </c>
      <c r="ME25" s="99">
        <v>34.901174484052497</v>
      </c>
      <c r="MF25" s="99">
        <v>34.977159474671602</v>
      </c>
      <c r="MG25" s="99">
        <v>35.053144465290799</v>
      </c>
      <c r="MH25" s="99">
        <v>35.129129455909897</v>
      </c>
      <c r="MI25" s="99">
        <v>35.205114446529102</v>
      </c>
      <c r="MJ25" s="99">
        <v>35.2810994371482</v>
      </c>
      <c r="MK25" s="99">
        <v>35.357084427767298</v>
      </c>
      <c r="ML25" s="99">
        <v>35.433069418386502</v>
      </c>
      <c r="MM25" s="99">
        <v>35.5090544090056</v>
      </c>
      <c r="MN25" s="99">
        <v>35.585039399624698</v>
      </c>
      <c r="MO25" s="99">
        <v>35.661024390243902</v>
      </c>
      <c r="MP25" s="99">
        <v>35.737009380863</v>
      </c>
      <c r="MQ25" s="99">
        <v>35.812994371482098</v>
      </c>
      <c r="MR25" s="99">
        <v>35.888979362101303</v>
      </c>
      <c r="MS25" s="99">
        <v>35.964964352720401</v>
      </c>
      <c r="MT25" s="99">
        <v>36.040949343339598</v>
      </c>
      <c r="MU25" s="99">
        <v>36.116934333958703</v>
      </c>
      <c r="MV25" s="99">
        <v>36.192919324577801</v>
      </c>
      <c r="MW25" s="99">
        <v>36.268904315196998</v>
      </c>
      <c r="MX25" s="99">
        <v>36.344889305816103</v>
      </c>
      <c r="MY25" s="99">
        <v>36.420874296435201</v>
      </c>
      <c r="MZ25" s="99">
        <v>36.496859287054399</v>
      </c>
      <c r="NA25" s="99">
        <v>36.572844277673497</v>
      </c>
      <c r="NB25" s="99">
        <v>36.648829268292701</v>
      </c>
      <c r="NC25" s="99">
        <v>36.724814258911799</v>
      </c>
      <c r="ND25" s="99">
        <v>36.800799249530897</v>
      </c>
      <c r="NE25" s="99">
        <v>36.876784240150101</v>
      </c>
      <c r="NF25" s="99">
        <v>36.952769230769199</v>
      </c>
      <c r="NG25" s="99">
        <v>37.028754221388297</v>
      </c>
      <c r="NH25" s="99">
        <v>37.104739212007502</v>
      </c>
      <c r="NI25" s="99">
        <v>37.1807242026266</v>
      </c>
      <c r="NJ25" s="99">
        <v>37.256709193245797</v>
      </c>
      <c r="NK25" s="99">
        <v>37.332694183864902</v>
      </c>
      <c r="NL25" s="99">
        <v>37.408679174484</v>
      </c>
      <c r="NM25" s="99">
        <v>37.484664165103197</v>
      </c>
      <c r="NN25" s="99">
        <v>37.560649155722302</v>
      </c>
      <c r="NO25" s="99">
        <v>37.6366341463414</v>
      </c>
      <c r="NP25" s="99">
        <v>37.712619136960598</v>
      </c>
      <c r="NQ25" s="99">
        <v>37.788604127579703</v>
      </c>
      <c r="NR25" s="99">
        <v>37.864589118198801</v>
      </c>
      <c r="NS25" s="99">
        <v>37.940574108817998</v>
      </c>
      <c r="NT25" s="99">
        <v>38.016559099437103</v>
      </c>
      <c r="NU25" s="99">
        <v>38.0925440900563</v>
      </c>
      <c r="NV25" s="99">
        <v>38.168529080675398</v>
      </c>
      <c r="NW25" s="99">
        <v>38.244514071294503</v>
      </c>
      <c r="NX25" s="99">
        <v>38.320499061913701</v>
      </c>
      <c r="NY25" s="99">
        <v>38.396484052532799</v>
      </c>
      <c r="NZ25" s="99">
        <v>38.472469043151897</v>
      </c>
      <c r="OA25" s="99">
        <v>38.548454033771101</v>
      </c>
      <c r="OB25" s="99">
        <v>38.624439024390199</v>
      </c>
      <c r="OC25" s="99">
        <v>38.700424015009403</v>
      </c>
      <c r="OD25" s="99">
        <v>38.776409005628501</v>
      </c>
      <c r="OE25" s="99">
        <v>38.852393996247599</v>
      </c>
      <c r="OF25" s="99">
        <v>38.928378986866797</v>
      </c>
      <c r="OG25" s="99">
        <v>39.004363977485902</v>
      </c>
      <c r="OH25" s="99">
        <v>39.080348968105</v>
      </c>
      <c r="OI25" s="99">
        <v>39.156333958724197</v>
      </c>
      <c r="OJ25" s="99">
        <v>39.232318949343302</v>
      </c>
      <c r="OK25" s="99">
        <v>39.3083039399624</v>
      </c>
      <c r="OL25" s="99">
        <v>39.384288930581597</v>
      </c>
      <c r="OM25" s="99">
        <v>39.460273921200702</v>
      </c>
      <c r="ON25" s="99">
        <v>39.5362589118199</v>
      </c>
      <c r="OO25" s="99">
        <v>39.612243902438998</v>
      </c>
      <c r="OP25" s="99">
        <v>39.688228893058103</v>
      </c>
      <c r="OQ25" s="99">
        <v>39.7642138836773</v>
      </c>
      <c r="OR25" s="99">
        <v>39.840198874296398</v>
      </c>
      <c r="OS25" s="99">
        <v>39.916183864915503</v>
      </c>
      <c r="OT25" s="99">
        <v>39.9921688555347</v>
      </c>
      <c r="OU25" s="99">
        <v>40.068153846153798</v>
      </c>
      <c r="OV25" s="99">
        <v>40.144138836773003</v>
      </c>
      <c r="OW25" s="99">
        <v>40.220123827392101</v>
      </c>
      <c r="OX25" s="99">
        <v>40.296108818011199</v>
      </c>
      <c r="OY25" s="99">
        <v>40.372093808630403</v>
      </c>
      <c r="OZ25" s="99">
        <v>40.448078799249501</v>
      </c>
      <c r="PA25" s="99">
        <v>40.524063789868599</v>
      </c>
      <c r="PB25" s="99">
        <v>40.600048780487803</v>
      </c>
      <c r="PC25" s="99">
        <v>40.676033771106901</v>
      </c>
      <c r="PD25" s="99">
        <v>40.752018761726099</v>
      </c>
      <c r="PE25" s="99">
        <v>40.828003752345197</v>
      </c>
      <c r="PF25" s="99">
        <v>40.903988742964302</v>
      </c>
      <c r="PG25" s="99">
        <v>40.979973733583499</v>
      </c>
      <c r="PH25" s="99">
        <v>41.055958724202597</v>
      </c>
      <c r="PI25" s="99">
        <v>41.131943714821702</v>
      </c>
      <c r="PJ25" s="99">
        <v>41.207928705440899</v>
      </c>
      <c r="PK25" s="99">
        <v>41.283913696059997</v>
      </c>
      <c r="PL25" s="99">
        <v>41.359898686679102</v>
      </c>
      <c r="PM25" s="99">
        <v>41.4358836772983</v>
      </c>
      <c r="PN25" s="99">
        <v>41.511868667917398</v>
      </c>
      <c r="PO25" s="99">
        <v>41.587853658536602</v>
      </c>
      <c r="PP25" s="99">
        <v>41.6638386491557</v>
      </c>
      <c r="PQ25" s="99">
        <v>41.739823639774798</v>
      </c>
      <c r="PR25" s="99">
        <v>41.815808630394002</v>
      </c>
      <c r="PS25" s="99">
        <v>41.8917936210131</v>
      </c>
      <c r="PT25" s="99">
        <v>41.967778611632198</v>
      </c>
      <c r="PU25" s="99">
        <v>42.043763602251403</v>
      </c>
      <c r="PV25" s="99">
        <v>42.119748592870501</v>
      </c>
      <c r="PW25" s="99">
        <v>42.195733583489698</v>
      </c>
      <c r="PX25" s="99">
        <v>42.271718574108803</v>
      </c>
      <c r="PY25" s="99">
        <v>42.347703564727901</v>
      </c>
      <c r="PZ25" s="99">
        <v>42.423688555347098</v>
      </c>
      <c r="QA25" s="99">
        <v>42.499673545966203</v>
      </c>
      <c r="QB25" s="99">
        <v>42.575658536585301</v>
      </c>
      <c r="QC25" s="99">
        <v>42.651643527204499</v>
      </c>
      <c r="QD25" s="99">
        <v>42.727628517823597</v>
      </c>
      <c r="QE25" s="99">
        <v>42.803613508442801</v>
      </c>
      <c r="QF25" s="99">
        <v>42.879598499061899</v>
      </c>
      <c r="QG25" s="99">
        <v>42.955583489680997</v>
      </c>
      <c r="QH25" s="99">
        <v>43.031568480300201</v>
      </c>
      <c r="QI25" s="99">
        <v>43.107553470919299</v>
      </c>
      <c r="QJ25" s="99">
        <v>43.183538461538397</v>
      </c>
      <c r="QK25" s="99">
        <v>43.259523452157602</v>
      </c>
      <c r="QL25" s="99">
        <v>43.3355084427767</v>
      </c>
      <c r="QM25" s="99">
        <v>43.411493433395798</v>
      </c>
      <c r="QN25" s="99">
        <v>43.487478424015002</v>
      </c>
      <c r="QO25" s="99">
        <v>43.5634634146341</v>
      </c>
      <c r="QP25" s="99">
        <v>43.639448405253297</v>
      </c>
      <c r="QQ25" s="99">
        <v>43.715433395872402</v>
      </c>
      <c r="QR25" s="99">
        <v>43.7914183864915</v>
      </c>
      <c r="QS25" s="99">
        <v>43.867403377110698</v>
      </c>
      <c r="QT25" s="99">
        <v>43.943388367729803</v>
      </c>
      <c r="QU25" s="99">
        <v>44.019373358348901</v>
      </c>
      <c r="QV25" s="99">
        <v>44.095358348968098</v>
      </c>
      <c r="QW25" s="99">
        <v>44.171343339587203</v>
      </c>
      <c r="QX25" s="99">
        <v>44.2473283302064</v>
      </c>
      <c r="QY25" s="99">
        <v>44.323313320825498</v>
      </c>
      <c r="QZ25" s="99">
        <v>44.399298311444603</v>
      </c>
      <c r="RA25" s="99">
        <v>44.475283302063801</v>
      </c>
      <c r="RB25" s="99">
        <v>44.551268292682899</v>
      </c>
      <c r="RC25" s="99">
        <v>44.627253283301997</v>
      </c>
      <c r="RD25" s="99">
        <v>44.703238273921201</v>
      </c>
      <c r="RE25" s="99">
        <v>44.779223264540299</v>
      </c>
      <c r="RF25" s="99">
        <v>44.855208255159397</v>
      </c>
      <c r="RG25" s="99">
        <v>44.931193245778601</v>
      </c>
      <c r="RH25" s="99">
        <v>45.007178236397699</v>
      </c>
      <c r="RI25" s="99">
        <v>45.083163227016897</v>
      </c>
      <c r="RJ25" s="99">
        <v>45.159148217636002</v>
      </c>
      <c r="RK25" s="99">
        <v>45.2351332082551</v>
      </c>
      <c r="RL25" s="99">
        <v>45.311118198874297</v>
      </c>
      <c r="RM25" s="99">
        <v>45.387103189493402</v>
      </c>
      <c r="RN25" s="99">
        <v>45.4630881801125</v>
      </c>
      <c r="RO25" s="99">
        <v>45.539073170731697</v>
      </c>
      <c r="RP25" s="99">
        <v>45.615058161350802</v>
      </c>
      <c r="RQ25" s="99">
        <v>45.69104315197</v>
      </c>
      <c r="RR25" s="99">
        <v>45.767028142589098</v>
      </c>
      <c r="RS25" s="99">
        <v>45.843013133208203</v>
      </c>
      <c r="RT25" s="99">
        <v>45.9189981238274</v>
      </c>
      <c r="RU25" s="99">
        <v>45.994983114446498</v>
      </c>
      <c r="RV25" s="99">
        <v>46.070968105065603</v>
      </c>
      <c r="RW25" s="99">
        <v>46.1469530956848</v>
      </c>
      <c r="RX25" s="99">
        <v>46.222938086303898</v>
      </c>
      <c r="RY25" s="99">
        <v>46.298923076923103</v>
      </c>
      <c r="RZ25" s="99">
        <v>46.374908067542201</v>
      </c>
      <c r="SA25" s="99">
        <v>46.450893058161299</v>
      </c>
      <c r="SB25" s="99">
        <v>46.526878048780503</v>
      </c>
      <c r="SC25" s="99">
        <v>46.602863039399601</v>
      </c>
      <c r="SD25" s="99">
        <v>46.678848030018699</v>
      </c>
      <c r="SE25" s="99">
        <v>46.754833020637903</v>
      </c>
      <c r="SF25" s="99">
        <v>46.830818011257001</v>
      </c>
      <c r="SG25" s="99">
        <v>46.906803001876099</v>
      </c>
      <c r="SH25" s="99">
        <v>46.982787992495297</v>
      </c>
      <c r="SI25" s="99">
        <v>47.058772983114402</v>
      </c>
      <c r="SJ25" s="99">
        <v>47.134757973733599</v>
      </c>
      <c r="SK25" s="99">
        <v>47.210742964352697</v>
      </c>
      <c r="SL25" s="99">
        <v>47.286727954971802</v>
      </c>
      <c r="SM25" s="99">
        <v>47.362712945590999</v>
      </c>
      <c r="SN25" s="99">
        <v>47.438697936210097</v>
      </c>
      <c r="SO25" s="99">
        <v>47.514682926829202</v>
      </c>
      <c r="SP25" s="99">
        <v>47.5906679174484</v>
      </c>
      <c r="SQ25" s="99">
        <v>47.666652908067498</v>
      </c>
      <c r="SR25" s="99">
        <v>47.742637898686702</v>
      </c>
      <c r="SS25" s="99">
        <v>47.8186228893058</v>
      </c>
      <c r="ST25" s="99">
        <v>47.894607879924898</v>
      </c>
      <c r="SU25" s="99">
        <v>47.970592870544102</v>
      </c>
      <c r="SV25" s="99">
        <v>48.0465778611632</v>
      </c>
      <c r="SW25" s="99">
        <v>48.122562851782298</v>
      </c>
      <c r="SX25" s="99">
        <v>48.198547842401503</v>
      </c>
      <c r="SY25" s="99">
        <v>48.274532833020601</v>
      </c>
      <c r="SZ25" s="99">
        <v>48.350517823639699</v>
      </c>
      <c r="TA25" s="99">
        <v>48.426502814258903</v>
      </c>
      <c r="TB25" s="99">
        <v>48.502487804878001</v>
      </c>
      <c r="TC25" s="99">
        <v>48.578472795497198</v>
      </c>
      <c r="TD25" s="99">
        <v>48.654457786116303</v>
      </c>
      <c r="TE25" s="99">
        <v>48.730442776735401</v>
      </c>
      <c r="TF25" s="99">
        <v>48.806427767354599</v>
      </c>
      <c r="TG25" s="99">
        <v>48.882412757973697</v>
      </c>
      <c r="TH25" s="99">
        <v>48.958397748592802</v>
      </c>
      <c r="TI25" s="99">
        <v>49.034382739211999</v>
      </c>
      <c r="TJ25" s="99">
        <v>49.110367729831097</v>
      </c>
      <c r="TK25" s="99">
        <v>49.186352720450301</v>
      </c>
      <c r="TL25" s="99">
        <v>49.262337711069399</v>
      </c>
      <c r="TM25" s="99">
        <v>49.338322701688497</v>
      </c>
      <c r="TN25" s="99">
        <v>49.414307692307702</v>
      </c>
      <c r="TO25" s="99">
        <v>49.4902926829268</v>
      </c>
      <c r="TP25" s="99">
        <v>49.566277673545898</v>
      </c>
      <c r="TQ25" s="99">
        <v>49.642262664165102</v>
      </c>
      <c r="TR25" s="99">
        <v>49.7182476547842</v>
      </c>
      <c r="TS25" s="99">
        <v>49.794232645403298</v>
      </c>
      <c r="TT25" s="99">
        <v>49.870217636022502</v>
      </c>
      <c r="TU25" s="99">
        <v>49.9462026266416</v>
      </c>
      <c r="TV25" s="99">
        <v>50.022187617260798</v>
      </c>
      <c r="TW25" s="99">
        <v>50.098172607879903</v>
      </c>
      <c r="TX25" s="99">
        <v>50.174157598499001</v>
      </c>
      <c r="TY25" s="99">
        <v>50.250142589118198</v>
      </c>
      <c r="TZ25" s="99">
        <v>50.326127579737303</v>
      </c>
      <c r="UA25" s="99">
        <v>50.402112570356401</v>
      </c>
      <c r="UB25" s="99">
        <v>50.478097560975598</v>
      </c>
      <c r="UC25" s="99">
        <v>50.554082551594703</v>
      </c>
      <c r="UD25" s="99">
        <v>50.630067542213901</v>
      </c>
      <c r="UE25" s="99">
        <v>50.706052532832999</v>
      </c>
      <c r="UF25" s="99">
        <v>50.782037523452097</v>
      </c>
      <c r="UG25" s="99">
        <v>50.858022514071301</v>
      </c>
      <c r="UH25" s="99">
        <v>50.934007504690399</v>
      </c>
      <c r="UI25" s="99">
        <v>51.009992495309497</v>
      </c>
      <c r="UJ25" s="99">
        <v>51.085977485928701</v>
      </c>
      <c r="UK25" s="99">
        <v>51.161962476547799</v>
      </c>
      <c r="UL25" s="99">
        <v>51.237947467166997</v>
      </c>
      <c r="UM25" s="99">
        <v>51.313932457786102</v>
      </c>
      <c r="UN25" s="99">
        <v>51.3899174484052</v>
      </c>
      <c r="UO25" s="99">
        <v>51.465902439024397</v>
      </c>
      <c r="UP25" s="99">
        <v>51.541887429643502</v>
      </c>
      <c r="UQ25" s="99">
        <v>51.6178724202626</v>
      </c>
      <c r="UR25" s="99">
        <v>51.693857410881797</v>
      </c>
      <c r="US25" s="99">
        <v>51.769842401500803</v>
      </c>
      <c r="UT25" s="99">
        <v>51.84582739212</v>
      </c>
    </row>
    <row r="26" spans="1:566" x14ac:dyDescent="0.2">
      <c r="A26" s="89">
        <v>10</v>
      </c>
      <c r="B26" s="90">
        <v>8.8800000000000008</v>
      </c>
      <c r="C26" s="90">
        <v>8.9600000000000009</v>
      </c>
      <c r="D26" s="90">
        <v>9.0299999999999994</v>
      </c>
      <c r="E26" s="90">
        <v>9.11</v>
      </c>
      <c r="F26" s="90">
        <v>9.18</v>
      </c>
      <c r="G26" s="90">
        <v>9.26</v>
      </c>
      <c r="H26" s="90">
        <v>9.33</v>
      </c>
      <c r="I26" s="90">
        <v>9.41</v>
      </c>
      <c r="J26" s="90">
        <v>9.49</v>
      </c>
      <c r="K26" s="90">
        <v>9.56</v>
      </c>
      <c r="L26" s="90">
        <v>9.64</v>
      </c>
      <c r="M26" s="90">
        <v>9.7100000000000009</v>
      </c>
      <c r="N26" s="90">
        <v>9.7899999999999991</v>
      </c>
      <c r="O26" s="90">
        <v>9.86</v>
      </c>
      <c r="P26" s="90">
        <v>9.94</v>
      </c>
      <c r="Q26" s="90">
        <v>10.01</v>
      </c>
      <c r="R26" s="90">
        <v>10.09</v>
      </c>
      <c r="S26" s="90">
        <v>10.16</v>
      </c>
      <c r="T26" s="90">
        <v>10.24</v>
      </c>
      <c r="U26" s="91">
        <v>10.31</v>
      </c>
      <c r="V26" s="90">
        <v>10.39</v>
      </c>
      <c r="W26" s="90">
        <v>10.46</v>
      </c>
      <c r="X26" s="90">
        <v>10.54</v>
      </c>
      <c r="Y26" s="90">
        <v>10.61</v>
      </c>
      <c r="Z26" s="90">
        <v>10.69</v>
      </c>
      <c r="AA26" s="90">
        <v>10.76</v>
      </c>
      <c r="AB26" s="90">
        <v>10.84</v>
      </c>
      <c r="AC26" s="90">
        <v>10.91</v>
      </c>
      <c r="AD26" s="90">
        <v>10.99</v>
      </c>
      <c r="AE26" s="90">
        <v>11.06</v>
      </c>
      <c r="AF26" s="90">
        <v>11.14</v>
      </c>
      <c r="AG26" s="90">
        <v>11.21</v>
      </c>
      <c r="AH26" s="90">
        <v>11.29</v>
      </c>
      <c r="AI26" s="90">
        <v>11.36</v>
      </c>
      <c r="AJ26" s="90">
        <v>11.44</v>
      </c>
      <c r="AK26" s="90">
        <v>11.51</v>
      </c>
      <c r="AL26" s="90">
        <v>11.59</v>
      </c>
      <c r="AM26" s="90">
        <v>11.66</v>
      </c>
      <c r="AN26" s="90">
        <v>11.74</v>
      </c>
      <c r="AO26" s="91">
        <v>11.81</v>
      </c>
      <c r="AP26" s="90">
        <v>11.888846153846201</v>
      </c>
      <c r="AQ26" s="90">
        <v>11.9639606003752</v>
      </c>
      <c r="AR26" s="90">
        <v>12.0390750469043</v>
      </c>
      <c r="AS26" s="90">
        <v>12.1141894934334</v>
      </c>
      <c r="AT26" s="90">
        <v>12.1893039399625</v>
      </c>
      <c r="AU26" s="90">
        <v>12.264418386491601</v>
      </c>
      <c r="AV26" s="90">
        <v>12.3395328330206</v>
      </c>
      <c r="AW26" s="90">
        <v>12.414647279549699</v>
      </c>
      <c r="AX26" s="90">
        <v>12.4897617260788</v>
      </c>
      <c r="AY26" s="90">
        <v>12.564876172607899</v>
      </c>
      <c r="AZ26" s="90">
        <v>12.639990619137</v>
      </c>
      <c r="BA26" s="90">
        <v>12.715105065666</v>
      </c>
      <c r="BB26" s="90">
        <v>12.790219512195099</v>
      </c>
      <c r="BC26" s="90">
        <v>12.8653339587242</v>
      </c>
      <c r="BD26" s="90">
        <v>12.940448405253299</v>
      </c>
      <c r="BE26" s="90">
        <v>13.0155628517824</v>
      </c>
      <c r="BF26" s="90">
        <v>13.0906772983114</v>
      </c>
      <c r="BG26" s="90">
        <v>13.165791744840501</v>
      </c>
      <c r="BH26" s="90">
        <v>13.2409061913696</v>
      </c>
      <c r="BI26" s="91">
        <v>13.316020637898699</v>
      </c>
      <c r="BJ26" s="90">
        <v>13.3911350844278</v>
      </c>
      <c r="BK26" s="99">
        <v>13.4662495309568</v>
      </c>
      <c r="BL26" s="99">
        <v>13.541363977485901</v>
      </c>
      <c r="BM26" s="99">
        <v>13.616478424015</v>
      </c>
      <c r="BN26" s="99">
        <v>13.691592870544101</v>
      </c>
      <c r="BO26" s="99">
        <v>13.7667073170732</v>
      </c>
      <c r="BP26" s="99">
        <v>13.8418217636022</v>
      </c>
      <c r="BQ26" s="99">
        <v>13.916936210131301</v>
      </c>
      <c r="BR26" s="99">
        <v>13.9920506566604</v>
      </c>
      <c r="BS26" s="99">
        <v>14.067165103189501</v>
      </c>
      <c r="BT26" s="99">
        <v>14.1422795497186</v>
      </c>
      <c r="BU26" s="99">
        <v>14.217393996247701</v>
      </c>
      <c r="BV26" s="99">
        <v>14.2925084427767</v>
      </c>
      <c r="BW26" s="99">
        <v>14.3676228893058</v>
      </c>
      <c r="BX26" s="99">
        <v>14.4427373358349</v>
      </c>
      <c r="BY26" s="99">
        <v>14.517851782364</v>
      </c>
      <c r="BZ26" s="99">
        <v>14.592966228893101</v>
      </c>
      <c r="CA26" s="99">
        <v>14.6680806754221</v>
      </c>
      <c r="CB26" s="99">
        <v>14.743195121951199</v>
      </c>
      <c r="CC26" s="99">
        <v>14.8183095684803</v>
      </c>
      <c r="CD26" s="99">
        <v>14.893424015009399</v>
      </c>
      <c r="CE26" s="99">
        <v>14.9685384615385</v>
      </c>
      <c r="CF26" s="99">
        <v>15.0436529080675</v>
      </c>
      <c r="CG26" s="99">
        <v>15.118767354596599</v>
      </c>
      <c r="CH26" s="99">
        <v>15.1938818011257</v>
      </c>
      <c r="CI26" s="99">
        <v>15.268996247654799</v>
      </c>
      <c r="CJ26" s="99">
        <v>15.3441106941839</v>
      </c>
      <c r="CK26" s="99">
        <v>15.4192251407129</v>
      </c>
      <c r="CL26" s="99">
        <v>15.494339587241999</v>
      </c>
      <c r="CM26" s="99">
        <v>15.5694540337711</v>
      </c>
      <c r="CN26" s="99">
        <v>15.644568480300199</v>
      </c>
      <c r="CO26" s="99">
        <v>15.7196829268293</v>
      </c>
      <c r="CP26" s="99">
        <v>15.7947973733583</v>
      </c>
      <c r="CQ26" s="99">
        <v>15.869911819887401</v>
      </c>
      <c r="CR26" s="99">
        <v>15.9450262664165</v>
      </c>
      <c r="CS26" s="99">
        <v>16.020140712945601</v>
      </c>
      <c r="CT26" s="99">
        <v>16.0952551594747</v>
      </c>
      <c r="CU26" s="99">
        <v>16.1703696060037</v>
      </c>
      <c r="CV26" s="99">
        <v>16.245484052532799</v>
      </c>
      <c r="CW26" s="99">
        <v>16.320598499061902</v>
      </c>
      <c r="CX26" s="99">
        <v>16.395712945591001</v>
      </c>
      <c r="CY26" s="99">
        <v>16.4708273921201</v>
      </c>
      <c r="CZ26" s="99">
        <v>16.545941838649199</v>
      </c>
      <c r="DA26" s="99">
        <v>16.621056285178199</v>
      </c>
      <c r="DB26" s="99">
        <v>16.696170731707301</v>
      </c>
      <c r="DC26" s="99">
        <v>16.771285178236401</v>
      </c>
      <c r="DD26" s="99">
        <v>16.8463996247655</v>
      </c>
      <c r="DE26" s="99">
        <v>16.921514071294599</v>
      </c>
      <c r="DF26" s="99">
        <v>16.996628517823599</v>
      </c>
      <c r="DG26" s="99">
        <v>17.071742964352701</v>
      </c>
      <c r="DH26" s="99">
        <v>17.1468574108818</v>
      </c>
      <c r="DI26" s="99">
        <v>17.2219718574109</v>
      </c>
      <c r="DJ26" s="99">
        <v>17.297086303939999</v>
      </c>
      <c r="DK26" s="99">
        <v>17.372200750468998</v>
      </c>
      <c r="DL26" s="99">
        <v>17.447315196998101</v>
      </c>
      <c r="DM26" s="99">
        <v>17.5224296435272</v>
      </c>
      <c r="DN26" s="99">
        <v>17.597544090056299</v>
      </c>
      <c r="DO26" s="99">
        <v>17.672658536585399</v>
      </c>
      <c r="DP26" s="99">
        <v>17.747772983114402</v>
      </c>
      <c r="DQ26" s="99">
        <v>17.822887429643501</v>
      </c>
      <c r="DR26" s="99">
        <v>17.8980018761726</v>
      </c>
      <c r="DS26" s="99">
        <v>17.973116322701699</v>
      </c>
      <c r="DT26" s="99">
        <v>18.048230769230798</v>
      </c>
      <c r="DU26" s="99">
        <v>18.123345215759802</v>
      </c>
      <c r="DV26" s="99">
        <v>18.198459662288901</v>
      </c>
      <c r="DW26" s="99">
        <v>18.273574108818</v>
      </c>
      <c r="DX26" s="99">
        <v>18.348688555347099</v>
      </c>
      <c r="DY26" s="99">
        <v>18.423803001876198</v>
      </c>
      <c r="DZ26" s="99">
        <v>18.498917448405301</v>
      </c>
      <c r="EA26" s="99">
        <v>18.574031894934301</v>
      </c>
      <c r="EB26" s="99">
        <v>18.6491463414634</v>
      </c>
      <c r="EC26" s="99">
        <v>18.724260787992499</v>
      </c>
      <c r="ED26" s="99">
        <v>18.799375234521602</v>
      </c>
      <c r="EE26" s="99">
        <v>18.874489681050701</v>
      </c>
      <c r="EF26" s="99">
        <v>18.9496041275797</v>
      </c>
      <c r="EG26" s="99">
        <v>19.0247185741088</v>
      </c>
      <c r="EH26" s="99">
        <v>19.099833020637899</v>
      </c>
      <c r="EI26" s="99">
        <v>19.174947467167001</v>
      </c>
      <c r="EJ26" s="99">
        <v>19.250061913696001</v>
      </c>
      <c r="EK26" s="99">
        <v>19.3251763602251</v>
      </c>
      <c r="EL26" s="99">
        <v>19.400290806754199</v>
      </c>
      <c r="EM26" s="99">
        <v>19.475405253283299</v>
      </c>
      <c r="EN26" s="99">
        <v>19.550519699812401</v>
      </c>
      <c r="EO26" s="99">
        <v>19.625634146341401</v>
      </c>
      <c r="EP26" s="99">
        <v>19.7007485928705</v>
      </c>
      <c r="EQ26" s="99">
        <v>19.775863039399599</v>
      </c>
      <c r="ER26" s="99">
        <v>19.850977485928698</v>
      </c>
      <c r="ES26" s="99">
        <v>19.926091932457801</v>
      </c>
      <c r="ET26" s="99">
        <v>20.001206378986801</v>
      </c>
      <c r="EU26" s="99">
        <v>20.0763208255159</v>
      </c>
      <c r="EV26" s="99">
        <v>20.151435272044999</v>
      </c>
      <c r="EW26" s="99">
        <v>20.226549718574098</v>
      </c>
      <c r="EX26" s="99">
        <v>20.301664165103201</v>
      </c>
      <c r="EY26" s="99">
        <v>20.376778611632201</v>
      </c>
      <c r="EZ26" s="99">
        <v>20.4518930581613</v>
      </c>
      <c r="FA26" s="99">
        <v>20.527007504690399</v>
      </c>
      <c r="FB26" s="99">
        <v>20.602121951219502</v>
      </c>
      <c r="FC26" s="99">
        <v>20.677236397748601</v>
      </c>
      <c r="FD26" s="99">
        <v>20.752350844277601</v>
      </c>
      <c r="FE26" s="99">
        <v>20.8274652908067</v>
      </c>
      <c r="FF26" s="99">
        <v>20.902579737335799</v>
      </c>
      <c r="FG26" s="99">
        <v>20.977694183864902</v>
      </c>
      <c r="FH26" s="99">
        <v>21.052808630394001</v>
      </c>
      <c r="FI26" s="99">
        <v>21.127923076923</v>
      </c>
      <c r="FJ26" s="99">
        <v>21.2030375234521</v>
      </c>
      <c r="FK26" s="99">
        <v>21.278151969981199</v>
      </c>
      <c r="FL26" s="99">
        <v>21.353266416510301</v>
      </c>
      <c r="FM26" s="99">
        <v>21.428380863039401</v>
      </c>
      <c r="FN26" s="99">
        <v>21.5034953095685</v>
      </c>
      <c r="FO26" s="99">
        <v>21.578609756097499</v>
      </c>
      <c r="FP26" s="99">
        <v>21.653724202626599</v>
      </c>
      <c r="FQ26" s="99">
        <v>21.728838649155701</v>
      </c>
      <c r="FR26" s="99">
        <v>21.8039530956848</v>
      </c>
      <c r="FS26" s="99">
        <v>21.8790675422139</v>
      </c>
      <c r="FT26" s="99">
        <v>21.954181988742899</v>
      </c>
      <c r="FU26" s="99">
        <v>22.029296435271998</v>
      </c>
      <c r="FV26" s="99">
        <v>22.104410881801101</v>
      </c>
      <c r="FW26" s="99">
        <v>22.1795253283302</v>
      </c>
      <c r="FX26" s="99">
        <v>22.254639774859299</v>
      </c>
      <c r="FY26" s="99">
        <v>22.329754221388299</v>
      </c>
      <c r="FZ26" s="99">
        <v>22.404868667917398</v>
      </c>
      <c r="GA26" s="99">
        <v>22.479983114446501</v>
      </c>
      <c r="GB26" s="99">
        <v>22.5550975609756</v>
      </c>
      <c r="GC26" s="99">
        <v>22.630212007504699</v>
      </c>
      <c r="GD26" s="99">
        <v>22.705326454033699</v>
      </c>
      <c r="GE26" s="99">
        <v>22.780440900562802</v>
      </c>
      <c r="GF26" s="99">
        <v>22.855555347091901</v>
      </c>
      <c r="GG26" s="99">
        <v>22.930669793621</v>
      </c>
      <c r="GH26" s="99">
        <v>23.005784240150099</v>
      </c>
      <c r="GI26" s="99">
        <v>23.080898686679099</v>
      </c>
      <c r="GJ26" s="99">
        <v>23.156013133208202</v>
      </c>
      <c r="GK26" s="99">
        <v>23.231127579737301</v>
      </c>
      <c r="GL26" s="99">
        <v>23.3062420262664</v>
      </c>
      <c r="GM26" s="99">
        <v>23.381356472795499</v>
      </c>
      <c r="GN26" s="99">
        <v>23.456470919324499</v>
      </c>
      <c r="GO26" s="99">
        <v>23.531585365853601</v>
      </c>
      <c r="GP26" s="99">
        <v>23.606699812382701</v>
      </c>
      <c r="GQ26" s="99">
        <v>23.6818142589118</v>
      </c>
      <c r="GR26" s="99">
        <v>23.756928705440899</v>
      </c>
      <c r="GS26" s="99">
        <v>23.832043151970002</v>
      </c>
      <c r="GT26" s="99">
        <v>23.907157598499001</v>
      </c>
      <c r="GU26" s="99">
        <v>23.9822720450281</v>
      </c>
      <c r="GV26" s="99">
        <v>24.0573864915572</v>
      </c>
      <c r="GW26" s="99">
        <v>24.132500938086299</v>
      </c>
      <c r="GX26" s="99">
        <v>24.207615384615401</v>
      </c>
      <c r="GY26" s="99">
        <v>24.282729831144401</v>
      </c>
      <c r="GZ26" s="99">
        <v>24.3578442776735</v>
      </c>
      <c r="HA26" s="99">
        <v>24.432958724202599</v>
      </c>
      <c r="HB26" s="99">
        <v>24.508073170731699</v>
      </c>
      <c r="HC26" s="99">
        <v>24.583187617260801</v>
      </c>
      <c r="HD26" s="99">
        <v>24.658302063789801</v>
      </c>
      <c r="HE26" s="99">
        <v>24.7334165103189</v>
      </c>
      <c r="HF26" s="99">
        <v>24.808530956847999</v>
      </c>
      <c r="HG26" s="99">
        <v>24.883645403377098</v>
      </c>
      <c r="HH26" s="99">
        <v>24.958759849906201</v>
      </c>
      <c r="HI26" s="99">
        <v>25.033874296435201</v>
      </c>
      <c r="HJ26" s="99">
        <v>25.1089887429643</v>
      </c>
      <c r="HK26" s="99">
        <v>25.184103189493399</v>
      </c>
      <c r="HL26" s="99">
        <v>25.259217636022498</v>
      </c>
      <c r="HM26" s="99">
        <v>25.334332082551601</v>
      </c>
      <c r="HN26" s="99">
        <v>25.409446529080601</v>
      </c>
      <c r="HO26" s="99">
        <v>25.4845609756097</v>
      </c>
      <c r="HP26" s="99">
        <v>25.559675422138799</v>
      </c>
      <c r="HQ26" s="99">
        <v>25.634789868667902</v>
      </c>
      <c r="HR26" s="99">
        <v>25.709904315197001</v>
      </c>
      <c r="HS26" s="99">
        <v>25.785018761726</v>
      </c>
      <c r="HT26" s="99">
        <v>25.8601332082551</v>
      </c>
      <c r="HU26" s="99">
        <v>25.935247654784199</v>
      </c>
      <c r="HV26" s="99">
        <v>26.010362101313302</v>
      </c>
      <c r="HW26" s="99">
        <v>26.085476547842401</v>
      </c>
      <c r="HX26" s="99">
        <v>26.1605909943715</v>
      </c>
      <c r="HY26" s="99">
        <v>26.235705440900499</v>
      </c>
      <c r="HZ26" s="99">
        <v>26.310819887429599</v>
      </c>
      <c r="IA26" s="99">
        <v>26.385934333958701</v>
      </c>
      <c r="IB26" s="99">
        <v>26.461048780487801</v>
      </c>
      <c r="IC26" s="99">
        <v>26.5361632270169</v>
      </c>
      <c r="ID26" s="99">
        <v>26.611277673545899</v>
      </c>
      <c r="IE26" s="99">
        <v>26.686392120074999</v>
      </c>
      <c r="IF26" s="99">
        <v>26.761506566604101</v>
      </c>
      <c r="IG26" s="99">
        <v>26.8366210131332</v>
      </c>
      <c r="IH26" s="99">
        <v>26.9117354596623</v>
      </c>
      <c r="II26" s="99">
        <v>26.986849906191299</v>
      </c>
      <c r="IJ26" s="99">
        <v>27.061964352720398</v>
      </c>
      <c r="IK26" s="99">
        <v>27.137078799249501</v>
      </c>
      <c r="IL26" s="99">
        <v>27.2121932457786</v>
      </c>
      <c r="IM26" s="99">
        <v>27.287307692307699</v>
      </c>
      <c r="IN26" s="99">
        <v>27.362422138836699</v>
      </c>
      <c r="IO26" s="99">
        <v>27.437536585365802</v>
      </c>
      <c r="IP26" s="99">
        <v>27.512651031894901</v>
      </c>
      <c r="IQ26" s="99">
        <v>27.587765478424</v>
      </c>
      <c r="IR26" s="99">
        <v>27.662879924953099</v>
      </c>
      <c r="IS26" s="99">
        <v>27.737994371482099</v>
      </c>
      <c r="IT26" s="99">
        <v>27.813108818011202</v>
      </c>
      <c r="IU26" s="99">
        <v>27.888223264540301</v>
      </c>
      <c r="IV26" s="99">
        <v>27.9633377110694</v>
      </c>
      <c r="IW26" s="99">
        <v>28.038452157598499</v>
      </c>
      <c r="IX26" s="99">
        <v>28.113566604127598</v>
      </c>
      <c r="IY26" s="99">
        <v>28.188681050656601</v>
      </c>
      <c r="IZ26" s="99">
        <v>28.263795497185701</v>
      </c>
      <c r="JA26" s="99">
        <v>28.3389099437148</v>
      </c>
      <c r="JB26" s="99">
        <v>28.414024390243899</v>
      </c>
      <c r="JC26" s="99">
        <v>28.489138836773002</v>
      </c>
      <c r="JD26" s="99">
        <v>28.564253283302001</v>
      </c>
      <c r="JE26" s="99">
        <v>28.6393677298311</v>
      </c>
      <c r="JF26" s="99">
        <v>28.7144821763602</v>
      </c>
      <c r="JG26" s="99">
        <v>28.789596622889299</v>
      </c>
      <c r="JH26" s="99">
        <v>28.864711069418401</v>
      </c>
      <c r="JI26" s="99">
        <v>28.939825515947401</v>
      </c>
      <c r="JJ26" s="99">
        <v>29.0149399624765</v>
      </c>
      <c r="JK26" s="99">
        <v>29.090054409005599</v>
      </c>
      <c r="JL26" s="99">
        <v>29.165168855534699</v>
      </c>
      <c r="JM26" s="99">
        <v>29.240283302063801</v>
      </c>
      <c r="JN26" s="99">
        <v>29.315397748592801</v>
      </c>
      <c r="JO26" s="99">
        <v>29.3905121951219</v>
      </c>
      <c r="JP26" s="99">
        <v>29.465626641650999</v>
      </c>
      <c r="JQ26" s="99">
        <v>29.540741088180098</v>
      </c>
      <c r="JR26" s="99">
        <v>29.615855534709201</v>
      </c>
      <c r="JS26" s="99">
        <v>29.690969981238201</v>
      </c>
      <c r="JT26" s="99">
        <v>29.7660844277673</v>
      </c>
      <c r="JU26" s="99">
        <v>29.841198874296399</v>
      </c>
      <c r="JV26" s="99">
        <v>29.916313320825498</v>
      </c>
      <c r="JW26" s="99">
        <v>29.991427767354601</v>
      </c>
      <c r="JX26" s="99">
        <v>30.066542213883601</v>
      </c>
      <c r="JY26" s="99">
        <v>30.1416566604127</v>
      </c>
      <c r="JZ26" s="99">
        <v>30.216771106941799</v>
      </c>
      <c r="KA26" s="99">
        <v>30.291885553470902</v>
      </c>
      <c r="KB26" s="99">
        <v>30.367000000000001</v>
      </c>
      <c r="KC26" s="99">
        <v>30.4421144465291</v>
      </c>
      <c r="KD26" s="99">
        <v>30.5172288930581</v>
      </c>
      <c r="KE26" s="99">
        <v>30.592343339587199</v>
      </c>
      <c r="KF26" s="99">
        <v>30.667457786116302</v>
      </c>
      <c r="KG26" s="99">
        <v>30.742572232645401</v>
      </c>
      <c r="KH26" s="99">
        <v>30.8176866791745</v>
      </c>
      <c r="KI26" s="99">
        <v>30.8928011257035</v>
      </c>
      <c r="KJ26" s="99">
        <v>30.967915572232599</v>
      </c>
      <c r="KK26" s="99">
        <v>31.043030018761701</v>
      </c>
      <c r="KL26" s="99">
        <v>31.118144465290801</v>
      </c>
      <c r="KM26" s="99">
        <v>31.1932589118199</v>
      </c>
      <c r="KN26" s="99">
        <v>31.268373358348899</v>
      </c>
      <c r="KO26" s="99">
        <v>31.343487804877999</v>
      </c>
      <c r="KP26" s="99">
        <v>31.418602251407101</v>
      </c>
      <c r="KQ26" s="99">
        <v>31.4937166979362</v>
      </c>
      <c r="KR26" s="99">
        <v>31.5688311444653</v>
      </c>
      <c r="KS26" s="99">
        <v>31.643945590994299</v>
      </c>
      <c r="KT26" s="99">
        <v>31.719060037523398</v>
      </c>
      <c r="KU26" s="99">
        <v>31.794174484052501</v>
      </c>
      <c r="KV26" s="99">
        <v>31.8692889305816</v>
      </c>
      <c r="KW26" s="99">
        <v>31.944403377110699</v>
      </c>
      <c r="KX26" s="99">
        <v>32.019517823639703</v>
      </c>
      <c r="KY26" s="99">
        <v>32.094632270168802</v>
      </c>
      <c r="KZ26" s="99">
        <v>32.169746716697901</v>
      </c>
      <c r="LA26" s="99">
        <v>32.244861163227</v>
      </c>
      <c r="LB26" s="99">
        <v>32.319975609756099</v>
      </c>
      <c r="LC26" s="99">
        <v>32.395090056285099</v>
      </c>
      <c r="LD26" s="99">
        <v>32.470204502814198</v>
      </c>
      <c r="LE26" s="99">
        <v>32.545318949343297</v>
      </c>
      <c r="LF26" s="99">
        <v>32.620433395872404</v>
      </c>
      <c r="LG26" s="99">
        <v>32.695547842401503</v>
      </c>
      <c r="LH26" s="99">
        <v>32.770662288930602</v>
      </c>
      <c r="LI26" s="99">
        <v>32.845776735459602</v>
      </c>
      <c r="LJ26" s="99">
        <v>32.920891181988701</v>
      </c>
      <c r="LK26" s="99">
        <v>32.9960056285178</v>
      </c>
      <c r="LL26" s="99">
        <v>33.071120075046899</v>
      </c>
      <c r="LM26" s="99">
        <v>33.146234521575998</v>
      </c>
      <c r="LN26" s="99">
        <v>33.221348968104998</v>
      </c>
      <c r="LO26" s="99">
        <v>33.296463414634097</v>
      </c>
      <c r="LP26" s="99">
        <v>33.371577861163203</v>
      </c>
      <c r="LQ26" s="99">
        <v>33.446692307692302</v>
      </c>
      <c r="LR26" s="99">
        <v>33.521806754221402</v>
      </c>
      <c r="LS26" s="99">
        <v>33.596921200750401</v>
      </c>
      <c r="LT26" s="99">
        <v>33.6720356472795</v>
      </c>
      <c r="LU26" s="99">
        <v>33.7471500938086</v>
      </c>
      <c r="LV26" s="99">
        <v>33.822264540337699</v>
      </c>
      <c r="LW26" s="99">
        <v>33.897378986866798</v>
      </c>
      <c r="LX26" s="99">
        <v>33.972493433395798</v>
      </c>
      <c r="LY26" s="99">
        <v>34.047607879924897</v>
      </c>
      <c r="LZ26" s="99">
        <v>34.122722326454003</v>
      </c>
      <c r="MA26" s="99">
        <v>34.197836772983102</v>
      </c>
      <c r="MB26" s="99">
        <v>34.272951219512201</v>
      </c>
      <c r="MC26" s="99">
        <v>34.348065666041201</v>
      </c>
      <c r="MD26" s="99">
        <v>34.4231801125703</v>
      </c>
      <c r="ME26" s="99">
        <v>34.498294559099399</v>
      </c>
      <c r="MF26" s="99">
        <v>34.573409005628498</v>
      </c>
      <c r="MG26" s="99">
        <v>34.648523452157598</v>
      </c>
      <c r="MH26" s="99">
        <v>34.723637898686597</v>
      </c>
      <c r="MI26" s="99">
        <v>34.798752345215703</v>
      </c>
      <c r="MJ26" s="99">
        <v>34.873866791744803</v>
      </c>
      <c r="MK26" s="99">
        <v>34.948981238273902</v>
      </c>
      <c r="ML26" s="99">
        <v>35.024095684803001</v>
      </c>
      <c r="MM26" s="99">
        <v>35.0992101313321</v>
      </c>
      <c r="MN26" s="99">
        <v>35.1743245778611</v>
      </c>
      <c r="MO26" s="99">
        <v>35.249439024390199</v>
      </c>
      <c r="MP26" s="99">
        <v>35.324553470919298</v>
      </c>
      <c r="MQ26" s="99">
        <v>35.399667917448397</v>
      </c>
      <c r="MR26" s="99">
        <v>35.474782363977504</v>
      </c>
      <c r="MS26" s="99">
        <v>35.549896810506503</v>
      </c>
      <c r="MT26" s="99">
        <v>35.625011257035602</v>
      </c>
      <c r="MU26" s="99">
        <v>35.700125703564701</v>
      </c>
      <c r="MV26" s="99">
        <v>35.775240150093801</v>
      </c>
      <c r="MW26" s="99">
        <v>35.8503545966229</v>
      </c>
      <c r="MX26" s="99">
        <v>35.925469043151899</v>
      </c>
      <c r="MY26" s="99">
        <v>36.000583489680999</v>
      </c>
      <c r="MZ26" s="99">
        <v>36.075697936210098</v>
      </c>
      <c r="NA26" s="99">
        <v>36.150812382739197</v>
      </c>
      <c r="NB26" s="99">
        <v>36.225926829268303</v>
      </c>
      <c r="NC26" s="99">
        <v>36.301041275797303</v>
      </c>
      <c r="ND26" s="99">
        <v>36.376155722326402</v>
      </c>
      <c r="NE26" s="99">
        <v>36.451270168855501</v>
      </c>
      <c r="NF26" s="99">
        <v>36.5263846153846</v>
      </c>
      <c r="NG26" s="99">
        <v>36.6014990619137</v>
      </c>
      <c r="NH26" s="99">
        <v>36.676613508442699</v>
      </c>
      <c r="NI26" s="99">
        <v>36.751727954971798</v>
      </c>
      <c r="NJ26" s="99">
        <v>36.826842401500897</v>
      </c>
      <c r="NK26" s="99">
        <v>36.901956848029997</v>
      </c>
      <c r="NL26" s="99">
        <v>36.977071294559103</v>
      </c>
      <c r="NM26" s="99">
        <v>37.052185741088202</v>
      </c>
      <c r="NN26" s="99">
        <v>37.127300187617202</v>
      </c>
      <c r="NO26" s="99">
        <v>37.202414634146301</v>
      </c>
      <c r="NP26" s="99">
        <v>37.2775290806754</v>
      </c>
      <c r="NQ26" s="99">
        <v>37.352643527204499</v>
      </c>
      <c r="NR26" s="99">
        <v>37.427757973733598</v>
      </c>
      <c r="NS26" s="99">
        <v>37.502872420262598</v>
      </c>
      <c r="NT26" s="99">
        <v>37.577986866791697</v>
      </c>
      <c r="NU26" s="99">
        <v>37.653101313320803</v>
      </c>
      <c r="NV26" s="99">
        <v>37.728215759849903</v>
      </c>
      <c r="NW26" s="99">
        <v>37.803330206379002</v>
      </c>
      <c r="NX26" s="99">
        <v>37.878444652908001</v>
      </c>
      <c r="NY26" s="99">
        <v>37.953559099437101</v>
      </c>
      <c r="NZ26" s="99">
        <v>38.0286735459662</v>
      </c>
      <c r="OA26" s="99">
        <v>38.103787992495299</v>
      </c>
      <c r="OB26" s="99">
        <v>38.178902439024398</v>
      </c>
      <c r="OC26" s="99">
        <v>38.254016885553398</v>
      </c>
      <c r="OD26" s="99">
        <v>38.329131332082497</v>
      </c>
      <c r="OE26" s="99">
        <v>38.404245778611603</v>
      </c>
      <c r="OF26" s="99">
        <v>38.479360225140702</v>
      </c>
      <c r="OG26" s="99">
        <v>38.554474671669801</v>
      </c>
      <c r="OH26" s="99">
        <v>38.629589118198801</v>
      </c>
      <c r="OI26" s="99">
        <v>38.7047035647279</v>
      </c>
      <c r="OJ26" s="99">
        <v>38.779818011256999</v>
      </c>
      <c r="OK26" s="99">
        <v>38.854932457786099</v>
      </c>
      <c r="OL26" s="99">
        <v>38.930046904315198</v>
      </c>
      <c r="OM26" s="99">
        <v>39.005161350844297</v>
      </c>
      <c r="ON26" s="99">
        <v>39.080275797373297</v>
      </c>
      <c r="OO26" s="99">
        <v>39.155390243902403</v>
      </c>
      <c r="OP26" s="99">
        <v>39.230504690431502</v>
      </c>
      <c r="OQ26" s="99">
        <v>39.305619136960601</v>
      </c>
      <c r="OR26" s="99">
        <v>39.3807335834897</v>
      </c>
      <c r="OS26" s="99">
        <v>39.4558480300187</v>
      </c>
      <c r="OT26" s="99">
        <v>39.530962476547799</v>
      </c>
      <c r="OU26" s="99">
        <v>39.606076923076898</v>
      </c>
      <c r="OV26" s="99">
        <v>39.681191369605997</v>
      </c>
      <c r="OW26" s="99">
        <v>39.756305816135097</v>
      </c>
      <c r="OX26" s="99">
        <v>39.831420262664103</v>
      </c>
      <c r="OY26" s="99">
        <v>39.906534709193203</v>
      </c>
      <c r="OZ26" s="99">
        <v>39.981649155722302</v>
      </c>
      <c r="PA26" s="99">
        <v>40.056763602251401</v>
      </c>
      <c r="PB26" s="99">
        <v>40.1318780487805</v>
      </c>
      <c r="PC26" s="99">
        <v>40.2069924953095</v>
      </c>
      <c r="PD26" s="99">
        <v>40.282106941838599</v>
      </c>
      <c r="PE26" s="99">
        <v>40.357221388367698</v>
      </c>
      <c r="PF26" s="99">
        <v>40.432335834896797</v>
      </c>
      <c r="PG26" s="99">
        <v>40.507450281425903</v>
      </c>
      <c r="PH26" s="99">
        <v>40.582564727954903</v>
      </c>
      <c r="PI26" s="99">
        <v>40.657679174484002</v>
      </c>
      <c r="PJ26" s="99">
        <v>40.732793621013101</v>
      </c>
      <c r="PK26" s="99">
        <v>40.807908067542201</v>
      </c>
      <c r="PL26" s="99">
        <v>40.8830225140713</v>
      </c>
      <c r="PM26" s="99">
        <v>40.958136960600299</v>
      </c>
      <c r="PN26" s="99">
        <v>41.033251407129399</v>
      </c>
      <c r="PO26" s="99">
        <v>41.108365853658498</v>
      </c>
      <c r="PP26" s="99">
        <v>41.183480300187597</v>
      </c>
      <c r="PQ26" s="99">
        <v>41.258594746716703</v>
      </c>
      <c r="PR26" s="99">
        <v>41.333709193245703</v>
      </c>
      <c r="PS26" s="99">
        <v>41.408823639774802</v>
      </c>
      <c r="PT26" s="99">
        <v>41.483938086303901</v>
      </c>
      <c r="PU26" s="99">
        <v>41.559052532833</v>
      </c>
      <c r="PV26" s="99">
        <v>41.634166979362099</v>
      </c>
      <c r="PW26" s="99">
        <v>41.709281425891199</v>
      </c>
      <c r="PX26" s="99">
        <v>41.784395872420198</v>
      </c>
      <c r="PY26" s="99">
        <v>41.859510318949297</v>
      </c>
      <c r="PZ26" s="99">
        <v>41.934624765478397</v>
      </c>
      <c r="QA26" s="99">
        <v>42.009739212007503</v>
      </c>
      <c r="QB26" s="99">
        <v>42.084853658536602</v>
      </c>
      <c r="QC26" s="99">
        <v>42.159968105065602</v>
      </c>
      <c r="QD26" s="99">
        <v>42.235082551594701</v>
      </c>
      <c r="QE26" s="99">
        <v>42.3101969981238</v>
      </c>
      <c r="QF26" s="99">
        <v>42.385311444652899</v>
      </c>
      <c r="QG26" s="99">
        <v>42.460425891181998</v>
      </c>
      <c r="QH26" s="99">
        <v>42.535540337710998</v>
      </c>
      <c r="QI26" s="99">
        <v>42.610654784240097</v>
      </c>
      <c r="QJ26" s="99">
        <v>42.685769230769203</v>
      </c>
      <c r="QK26" s="99">
        <v>42.760883677298303</v>
      </c>
      <c r="QL26" s="99">
        <v>42.835998123827402</v>
      </c>
      <c r="QM26" s="99">
        <v>42.911112570356401</v>
      </c>
      <c r="QN26" s="99">
        <v>42.986227016885501</v>
      </c>
      <c r="QO26" s="99">
        <v>43.0613414634146</v>
      </c>
      <c r="QP26" s="99">
        <v>43.136455909943699</v>
      </c>
      <c r="QQ26" s="99">
        <v>43.211570356472798</v>
      </c>
      <c r="QR26" s="99">
        <v>43.286684803001798</v>
      </c>
      <c r="QS26" s="99">
        <v>43.361799249530897</v>
      </c>
      <c r="QT26" s="99">
        <v>43.436913696060003</v>
      </c>
      <c r="QU26" s="99">
        <v>43.512028142589102</v>
      </c>
      <c r="QV26" s="99">
        <v>43.587142589118201</v>
      </c>
      <c r="QW26" s="99">
        <v>43.662257035647201</v>
      </c>
      <c r="QX26" s="99">
        <v>43.7373714821763</v>
      </c>
      <c r="QY26" s="99">
        <v>43.812485928705399</v>
      </c>
      <c r="QZ26" s="99">
        <v>43.887600375234499</v>
      </c>
      <c r="RA26" s="99">
        <v>43.962714821763598</v>
      </c>
      <c r="RB26" s="99">
        <v>44.037829268292697</v>
      </c>
      <c r="RC26" s="99">
        <v>44.112943714821697</v>
      </c>
      <c r="RD26" s="99">
        <v>44.188058161350803</v>
      </c>
      <c r="RE26" s="99">
        <v>44.263172607879902</v>
      </c>
      <c r="RF26" s="99">
        <v>44.338287054409001</v>
      </c>
      <c r="RG26" s="99">
        <v>44.4134015009381</v>
      </c>
      <c r="RH26" s="99">
        <v>44.4885159474671</v>
      </c>
      <c r="RI26" s="99">
        <v>44.563630393996199</v>
      </c>
      <c r="RJ26" s="99">
        <v>44.638744840525298</v>
      </c>
      <c r="RK26" s="99">
        <v>44.713859287054397</v>
      </c>
      <c r="RL26" s="99">
        <v>44.788973733583497</v>
      </c>
      <c r="RM26" s="99">
        <v>44.864088180112503</v>
      </c>
      <c r="RN26" s="99">
        <v>44.939202626641602</v>
      </c>
      <c r="RO26" s="99">
        <v>45.014317073170702</v>
      </c>
      <c r="RP26" s="99">
        <v>45.089431519699801</v>
      </c>
      <c r="RQ26" s="99">
        <v>45.1645459662289</v>
      </c>
      <c r="RR26" s="99">
        <v>45.2396604127579</v>
      </c>
      <c r="RS26" s="99">
        <v>45.314774859286999</v>
      </c>
      <c r="RT26" s="99">
        <v>45.389889305816098</v>
      </c>
      <c r="RU26" s="99">
        <v>45.465003752345197</v>
      </c>
      <c r="RV26" s="99">
        <v>45.540118198874303</v>
      </c>
      <c r="RW26" s="99">
        <v>45.615232645403303</v>
      </c>
      <c r="RX26" s="99">
        <v>45.690347091932402</v>
      </c>
      <c r="RY26" s="99">
        <v>45.765461538461501</v>
      </c>
      <c r="RZ26" s="99">
        <v>45.8405759849906</v>
      </c>
      <c r="SA26" s="99">
        <v>45.9156904315197</v>
      </c>
      <c r="SB26" s="99">
        <v>45.990804878048799</v>
      </c>
      <c r="SC26" s="99">
        <v>46.065919324577798</v>
      </c>
      <c r="SD26" s="99">
        <v>46.141033771106898</v>
      </c>
      <c r="SE26" s="99">
        <v>46.216148217635997</v>
      </c>
      <c r="SF26" s="99">
        <v>46.291262664165103</v>
      </c>
      <c r="SG26" s="99">
        <v>46.366377110694202</v>
      </c>
      <c r="SH26" s="99">
        <v>46.441491557223202</v>
      </c>
      <c r="SI26" s="99">
        <v>46.516606003752301</v>
      </c>
      <c r="SJ26" s="99">
        <v>46.5917204502814</v>
      </c>
      <c r="SK26" s="99">
        <v>46.666834896810499</v>
      </c>
      <c r="SL26" s="99">
        <v>46.741949343339598</v>
      </c>
      <c r="SM26" s="99">
        <v>46.817063789868598</v>
      </c>
      <c r="SN26" s="99">
        <v>46.892178236397697</v>
      </c>
      <c r="SO26" s="99">
        <v>46.967292682926796</v>
      </c>
      <c r="SP26" s="99">
        <v>47.042407129455903</v>
      </c>
      <c r="SQ26" s="99">
        <v>47.117521575985002</v>
      </c>
      <c r="SR26" s="99">
        <v>47.192636022514002</v>
      </c>
      <c r="SS26" s="99">
        <v>47.267750469043101</v>
      </c>
      <c r="ST26" s="99">
        <v>47.3428649155722</v>
      </c>
      <c r="SU26" s="99">
        <v>47.417979362101299</v>
      </c>
      <c r="SV26" s="99">
        <v>47.493093808630398</v>
      </c>
      <c r="SW26" s="99">
        <v>47.568208255159398</v>
      </c>
      <c r="SX26" s="99">
        <v>47.643322701688497</v>
      </c>
      <c r="SY26" s="99">
        <v>47.718437148217603</v>
      </c>
      <c r="SZ26" s="99">
        <v>47.793551594746702</v>
      </c>
      <c r="TA26" s="99">
        <v>47.868666041275802</v>
      </c>
      <c r="TB26" s="99">
        <v>47.943780487804801</v>
      </c>
      <c r="TC26" s="99">
        <v>48.0188949343339</v>
      </c>
      <c r="TD26" s="99">
        <v>48.094009380863</v>
      </c>
      <c r="TE26" s="99">
        <v>48.169123827392099</v>
      </c>
      <c r="TF26" s="99">
        <v>48.244238273921198</v>
      </c>
      <c r="TG26" s="99">
        <v>48.319352720450297</v>
      </c>
      <c r="TH26" s="99">
        <v>48.394467166979297</v>
      </c>
      <c r="TI26" s="99">
        <v>48.469581613508403</v>
      </c>
      <c r="TJ26" s="99">
        <v>48.544696060037502</v>
      </c>
      <c r="TK26" s="99">
        <v>48.619810506566601</v>
      </c>
      <c r="TL26" s="99">
        <v>48.6949249530957</v>
      </c>
      <c r="TM26" s="99">
        <v>48.7700393996247</v>
      </c>
      <c r="TN26" s="99">
        <v>48.845153846153799</v>
      </c>
      <c r="TO26" s="99">
        <v>48.920268292682898</v>
      </c>
      <c r="TP26" s="99">
        <v>48.995382739211998</v>
      </c>
      <c r="TQ26" s="99">
        <v>49.070497185741097</v>
      </c>
      <c r="TR26" s="99">
        <v>49.145611632270104</v>
      </c>
      <c r="TS26" s="99">
        <v>49.220726078799203</v>
      </c>
      <c r="TT26" s="99">
        <v>49.295840525328302</v>
      </c>
      <c r="TU26" s="99">
        <v>49.370954971857401</v>
      </c>
      <c r="TV26" s="99">
        <v>49.4460694183865</v>
      </c>
      <c r="TW26" s="99">
        <v>49.5211838649155</v>
      </c>
      <c r="TX26" s="99">
        <v>49.596298311444599</v>
      </c>
      <c r="TY26" s="99">
        <v>49.671412757973698</v>
      </c>
      <c r="TZ26" s="99">
        <v>49.746527204502797</v>
      </c>
      <c r="UA26" s="99">
        <v>49.821641651031896</v>
      </c>
      <c r="UB26" s="99">
        <v>49.896756097560903</v>
      </c>
      <c r="UC26" s="99">
        <v>49.971870544090002</v>
      </c>
      <c r="UD26" s="99">
        <v>50.046984990619102</v>
      </c>
      <c r="UE26" s="99">
        <v>50.122099437148201</v>
      </c>
      <c r="UF26" s="99">
        <v>50.1972138836773</v>
      </c>
      <c r="UG26" s="99">
        <v>50.272328330206399</v>
      </c>
      <c r="UH26" s="99">
        <v>50.347442776735399</v>
      </c>
      <c r="UI26" s="99">
        <v>50.422557223264498</v>
      </c>
      <c r="UJ26" s="99">
        <v>50.497671669793597</v>
      </c>
      <c r="UK26" s="99">
        <v>50.572786116322703</v>
      </c>
      <c r="UL26" s="99">
        <v>50.647900562851802</v>
      </c>
      <c r="UM26" s="99">
        <v>50.723015009380802</v>
      </c>
      <c r="UN26" s="99">
        <v>50.798129455909901</v>
      </c>
      <c r="UO26" s="99">
        <v>50.873243902439</v>
      </c>
      <c r="UP26" s="99">
        <v>50.9483583489681</v>
      </c>
      <c r="UQ26" s="99">
        <v>51.023472795497199</v>
      </c>
      <c r="UR26" s="99">
        <v>51.098587242026198</v>
      </c>
      <c r="US26" s="99">
        <v>51.173701688555298</v>
      </c>
      <c r="UT26" s="99">
        <v>51.248816135084297</v>
      </c>
    </row>
    <row r="27" spans="1:566" x14ac:dyDescent="0.2">
      <c r="A27" s="89">
        <v>10.5</v>
      </c>
      <c r="B27" s="90">
        <v>8.7799999999999994</v>
      </c>
      <c r="C27" s="90">
        <v>8.85</v>
      </c>
      <c r="D27" s="90">
        <v>8.93</v>
      </c>
      <c r="E27" s="90">
        <v>9</v>
      </c>
      <c r="F27" s="90">
        <v>9.08</v>
      </c>
      <c r="G27" s="90">
        <v>9.15</v>
      </c>
      <c r="H27" s="90">
        <v>9.23</v>
      </c>
      <c r="I27" s="90">
        <v>9.3000000000000007</v>
      </c>
      <c r="J27" s="90">
        <v>9.3699999999999992</v>
      </c>
      <c r="K27" s="90">
        <v>9.4499999999999993</v>
      </c>
      <c r="L27" s="90">
        <v>9.52</v>
      </c>
      <c r="M27" s="90">
        <v>9.6</v>
      </c>
      <c r="N27" s="90">
        <v>9.67</v>
      </c>
      <c r="O27" s="90">
        <v>9.75</v>
      </c>
      <c r="P27" s="90">
        <v>9.82</v>
      </c>
      <c r="Q27" s="90">
        <v>9.89</v>
      </c>
      <c r="R27" s="90">
        <v>9.9700000000000006</v>
      </c>
      <c r="S27" s="90">
        <v>10.039999999999999</v>
      </c>
      <c r="T27" s="90">
        <v>10.119999999999999</v>
      </c>
      <c r="U27" s="91">
        <v>10.19</v>
      </c>
      <c r="V27" s="90">
        <v>10.26</v>
      </c>
      <c r="W27" s="90">
        <v>10.34</v>
      </c>
      <c r="X27" s="90">
        <v>10.41</v>
      </c>
      <c r="Y27" s="90">
        <v>10.49</v>
      </c>
      <c r="Z27" s="90">
        <v>10.56</v>
      </c>
      <c r="AA27" s="90">
        <v>10.64</v>
      </c>
      <c r="AB27" s="90">
        <v>10.71</v>
      </c>
      <c r="AC27" s="90">
        <v>10.78</v>
      </c>
      <c r="AD27" s="90">
        <v>10.86</v>
      </c>
      <c r="AE27" s="90">
        <v>10.93</v>
      </c>
      <c r="AF27" s="90">
        <v>11.01</v>
      </c>
      <c r="AG27" s="90">
        <v>11.08</v>
      </c>
      <c r="AH27" s="90">
        <v>11.16</v>
      </c>
      <c r="AI27" s="90">
        <v>11.23</v>
      </c>
      <c r="AJ27" s="90">
        <v>11.3</v>
      </c>
      <c r="AK27" s="90">
        <v>11.38</v>
      </c>
      <c r="AL27" s="90">
        <v>11.45</v>
      </c>
      <c r="AM27" s="90">
        <v>11.53</v>
      </c>
      <c r="AN27" s="90">
        <v>11.6</v>
      </c>
      <c r="AO27" s="91">
        <v>11.68</v>
      </c>
      <c r="AP27" s="90">
        <v>11.7499615384615</v>
      </c>
      <c r="AQ27" s="90">
        <v>11.824215759849899</v>
      </c>
      <c r="AR27" s="90">
        <v>11.8984699812383</v>
      </c>
      <c r="AS27" s="90">
        <v>11.972724202626599</v>
      </c>
      <c r="AT27" s="90">
        <v>12.046978424015</v>
      </c>
      <c r="AU27" s="90">
        <v>12.121232645403399</v>
      </c>
      <c r="AV27" s="90">
        <v>12.1954868667917</v>
      </c>
      <c r="AW27" s="90">
        <v>12.269741088180099</v>
      </c>
      <c r="AX27" s="90">
        <v>12.3439953095685</v>
      </c>
      <c r="AY27" s="90">
        <v>12.4182495309568</v>
      </c>
      <c r="AZ27" s="90">
        <v>12.4925037523452</v>
      </c>
      <c r="BA27" s="90">
        <v>12.566757973733599</v>
      </c>
      <c r="BB27" s="90">
        <v>12.641012195121901</v>
      </c>
      <c r="BC27" s="90">
        <v>12.7152664165103</v>
      </c>
      <c r="BD27" s="90">
        <v>12.789520637898701</v>
      </c>
      <c r="BE27" s="90">
        <v>12.8637748592871</v>
      </c>
      <c r="BF27" s="90">
        <v>12.938029080675401</v>
      </c>
      <c r="BG27" s="90">
        <v>13.0122833020638</v>
      </c>
      <c r="BH27" s="90">
        <v>13.086537523452201</v>
      </c>
      <c r="BI27" s="91">
        <v>13.1607917448405</v>
      </c>
      <c r="BJ27" s="90">
        <v>13.235045966228901</v>
      </c>
      <c r="BK27" s="99">
        <v>13.3093001876173</v>
      </c>
      <c r="BL27" s="99">
        <v>13.383554409005599</v>
      </c>
      <c r="BM27" s="99">
        <v>13.457808630394</v>
      </c>
      <c r="BN27" s="99">
        <v>13.532062851782401</v>
      </c>
      <c r="BO27" s="99">
        <v>13.6063170731707</v>
      </c>
      <c r="BP27" s="99">
        <v>13.680571294559099</v>
      </c>
      <c r="BQ27" s="99">
        <v>13.7548255159475</v>
      </c>
      <c r="BR27" s="99">
        <v>13.8290797373358</v>
      </c>
      <c r="BS27" s="99">
        <v>13.9033339587242</v>
      </c>
      <c r="BT27" s="99">
        <v>13.977588180112599</v>
      </c>
      <c r="BU27" s="99">
        <v>14.051842401500901</v>
      </c>
      <c r="BV27" s="99">
        <v>14.1260966228893</v>
      </c>
      <c r="BW27" s="99">
        <v>14.2003508442777</v>
      </c>
      <c r="BX27" s="99">
        <v>14.274605065666</v>
      </c>
      <c r="BY27" s="99">
        <v>14.348859287054401</v>
      </c>
      <c r="BZ27" s="99">
        <v>14.4231135084428</v>
      </c>
      <c r="CA27" s="99">
        <v>14.497367729831099</v>
      </c>
      <c r="CB27" s="99">
        <v>14.5716219512195</v>
      </c>
      <c r="CC27" s="99">
        <v>14.645876172607901</v>
      </c>
      <c r="CD27" s="99">
        <v>14.7201303939962</v>
      </c>
      <c r="CE27" s="99">
        <v>14.794384615384599</v>
      </c>
      <c r="CF27" s="99">
        <v>14.868638836773</v>
      </c>
      <c r="CG27" s="99">
        <v>14.9428930581613</v>
      </c>
      <c r="CH27" s="99">
        <v>15.0171472795497</v>
      </c>
      <c r="CI27" s="99">
        <v>15.091401500938099</v>
      </c>
      <c r="CJ27" s="99">
        <v>15.1656557223265</v>
      </c>
      <c r="CK27" s="99">
        <v>15.2399099437148</v>
      </c>
      <c r="CL27" s="99">
        <v>15.3141641651032</v>
      </c>
      <c r="CM27" s="99">
        <v>15.388418386491599</v>
      </c>
      <c r="CN27" s="99">
        <v>15.462672607879901</v>
      </c>
      <c r="CO27" s="99">
        <v>15.5369268292683</v>
      </c>
      <c r="CP27" s="99">
        <v>15.6111810506567</v>
      </c>
      <c r="CQ27" s="99">
        <v>15.685435272045</v>
      </c>
      <c r="CR27" s="99">
        <v>15.759689493433401</v>
      </c>
      <c r="CS27" s="99">
        <v>15.8339437148218</v>
      </c>
      <c r="CT27" s="99">
        <v>15.908197936210099</v>
      </c>
      <c r="CU27" s="99">
        <v>15.9824521575985</v>
      </c>
      <c r="CV27" s="99">
        <v>16.056706378986899</v>
      </c>
      <c r="CW27" s="99">
        <v>16.1309606003752</v>
      </c>
      <c r="CX27" s="99">
        <v>16.205214821763601</v>
      </c>
      <c r="CY27" s="99">
        <v>16.279469043152002</v>
      </c>
      <c r="CZ27" s="99">
        <v>16.353723264540299</v>
      </c>
      <c r="DA27" s="99">
        <v>16.4279774859287</v>
      </c>
      <c r="DB27" s="99">
        <v>16.502231707317101</v>
      </c>
      <c r="DC27" s="99">
        <v>16.576485928705399</v>
      </c>
      <c r="DD27" s="99">
        <v>16.650740150093799</v>
      </c>
      <c r="DE27" s="99">
        <v>16.7249943714822</v>
      </c>
      <c r="DF27" s="99">
        <v>16.799248592870502</v>
      </c>
      <c r="DG27" s="99">
        <v>16.873502814258899</v>
      </c>
      <c r="DH27" s="99">
        <v>16.9477570356473</v>
      </c>
      <c r="DI27" s="99">
        <v>17.022011257035601</v>
      </c>
      <c r="DJ27" s="99">
        <v>17.096265478424002</v>
      </c>
      <c r="DK27" s="99">
        <v>17.170519699812399</v>
      </c>
      <c r="DL27" s="99">
        <v>17.2447739212007</v>
      </c>
      <c r="DM27" s="99">
        <v>17.319028142589101</v>
      </c>
      <c r="DN27" s="99">
        <v>17.393282363977502</v>
      </c>
      <c r="DO27" s="99">
        <v>17.467536585365899</v>
      </c>
      <c r="DP27" s="99">
        <v>17.5417908067542</v>
      </c>
      <c r="DQ27" s="99">
        <v>17.616045028142601</v>
      </c>
      <c r="DR27" s="99">
        <v>17.690299249531002</v>
      </c>
      <c r="DS27" s="99">
        <v>17.764553470919299</v>
      </c>
      <c r="DT27" s="99">
        <v>17.8388076923077</v>
      </c>
      <c r="DU27" s="99">
        <v>17.913061913696101</v>
      </c>
      <c r="DV27" s="99">
        <v>17.987316135084399</v>
      </c>
      <c r="DW27" s="99">
        <v>18.061570356472799</v>
      </c>
      <c r="DX27" s="99">
        <v>18.1358245778612</v>
      </c>
      <c r="DY27" s="99">
        <v>18.210078799249501</v>
      </c>
      <c r="DZ27" s="99">
        <v>18.284333020637899</v>
      </c>
      <c r="EA27" s="99">
        <v>18.358587242026299</v>
      </c>
      <c r="EB27" s="99">
        <v>18.432841463414601</v>
      </c>
      <c r="EC27" s="99">
        <v>18.507095684803001</v>
      </c>
      <c r="ED27" s="99">
        <v>18.581349906191399</v>
      </c>
      <c r="EE27" s="99">
        <v>18.6556041275797</v>
      </c>
      <c r="EF27" s="99">
        <v>18.729858348968101</v>
      </c>
      <c r="EG27" s="99">
        <v>18.804112570356398</v>
      </c>
      <c r="EH27" s="99">
        <v>18.878366791744799</v>
      </c>
      <c r="EI27" s="99">
        <v>18.9526210131332</v>
      </c>
      <c r="EJ27" s="99">
        <v>19.026875234521501</v>
      </c>
      <c r="EK27" s="99">
        <v>19.101129455909899</v>
      </c>
      <c r="EL27" s="99">
        <v>19.175383677298299</v>
      </c>
      <c r="EM27" s="99">
        <v>19.2496378986867</v>
      </c>
      <c r="EN27" s="99">
        <v>19.323892120075001</v>
      </c>
      <c r="EO27" s="99">
        <v>19.398146341463399</v>
      </c>
      <c r="EP27" s="99">
        <v>19.472400562851799</v>
      </c>
      <c r="EQ27" s="99">
        <v>19.546654784240101</v>
      </c>
      <c r="ER27" s="99">
        <v>19.620909005628501</v>
      </c>
      <c r="ES27" s="99">
        <v>19.695163227016899</v>
      </c>
      <c r="ET27" s="99">
        <v>19.7694174484052</v>
      </c>
      <c r="EU27" s="99">
        <v>19.843671669793601</v>
      </c>
      <c r="EV27" s="99">
        <v>19.917925891182001</v>
      </c>
      <c r="EW27" s="99">
        <v>19.992180112570299</v>
      </c>
      <c r="EX27" s="99">
        <v>20.0664343339587</v>
      </c>
      <c r="EY27" s="99">
        <v>20.140688555347101</v>
      </c>
      <c r="EZ27" s="99">
        <v>20.214942776735398</v>
      </c>
      <c r="FA27" s="99">
        <v>20.289196998123799</v>
      </c>
      <c r="FB27" s="99">
        <v>20.3634512195122</v>
      </c>
      <c r="FC27" s="99">
        <v>20.437705440900501</v>
      </c>
      <c r="FD27" s="99">
        <v>20.511959662288898</v>
      </c>
      <c r="FE27" s="99">
        <v>20.586213883677299</v>
      </c>
      <c r="FF27" s="99">
        <v>20.6604681050656</v>
      </c>
      <c r="FG27" s="99">
        <v>20.734722326454001</v>
      </c>
      <c r="FH27" s="99">
        <v>20.808976547842398</v>
      </c>
      <c r="FI27" s="99">
        <v>20.8832307692307</v>
      </c>
      <c r="FJ27" s="99">
        <v>20.957484990619101</v>
      </c>
      <c r="FK27" s="99">
        <v>21.031739212007501</v>
      </c>
      <c r="FL27" s="99">
        <v>21.105993433395799</v>
      </c>
      <c r="FM27" s="99">
        <v>21.1802476547842</v>
      </c>
      <c r="FN27" s="99">
        <v>21.254501876172601</v>
      </c>
      <c r="FO27" s="99">
        <v>21.328756097560898</v>
      </c>
      <c r="FP27" s="99">
        <v>21.403010318949299</v>
      </c>
      <c r="FQ27" s="99">
        <v>21.4772645403377</v>
      </c>
      <c r="FR27" s="99">
        <v>21.551518761726101</v>
      </c>
      <c r="FS27" s="99">
        <v>21.625772983114398</v>
      </c>
      <c r="FT27" s="99">
        <v>21.700027204502799</v>
      </c>
      <c r="FU27" s="99">
        <v>21.7742814258912</v>
      </c>
      <c r="FV27" s="99">
        <v>21.848535647279501</v>
      </c>
      <c r="FW27" s="99">
        <v>21.922789868667898</v>
      </c>
      <c r="FX27" s="99">
        <v>21.997044090056299</v>
      </c>
      <c r="FY27" s="99">
        <v>22.0712983114446</v>
      </c>
      <c r="FZ27" s="99">
        <v>22.145552532833001</v>
      </c>
      <c r="GA27" s="99">
        <v>22.219806754221398</v>
      </c>
      <c r="GB27" s="99">
        <v>22.2940609756097</v>
      </c>
      <c r="GC27" s="99">
        <v>22.3683151969981</v>
      </c>
      <c r="GD27" s="99">
        <v>22.442569418386501</v>
      </c>
      <c r="GE27" s="99">
        <v>22.516823639774799</v>
      </c>
      <c r="GF27" s="99">
        <v>22.5910778611632</v>
      </c>
      <c r="GG27" s="99">
        <v>22.6653320825516</v>
      </c>
      <c r="GH27" s="99">
        <v>22.739586303939902</v>
      </c>
      <c r="GI27" s="99">
        <v>22.813840525328299</v>
      </c>
      <c r="GJ27" s="99">
        <v>22.8880947467167</v>
      </c>
      <c r="GK27" s="99">
        <v>22.962348968105001</v>
      </c>
      <c r="GL27" s="99">
        <v>23.036603189493398</v>
      </c>
      <c r="GM27" s="99">
        <v>23.110857410881799</v>
      </c>
      <c r="GN27" s="99">
        <v>23.1851116322701</v>
      </c>
      <c r="GO27" s="99">
        <v>23.259365853658501</v>
      </c>
      <c r="GP27" s="99">
        <v>23.333620075046898</v>
      </c>
      <c r="GQ27" s="99">
        <v>23.4078742964352</v>
      </c>
      <c r="GR27" s="99">
        <v>23.4821285178236</v>
      </c>
      <c r="GS27" s="99">
        <v>23.556382739212001</v>
      </c>
      <c r="GT27" s="99">
        <v>23.630636960600398</v>
      </c>
      <c r="GU27" s="99">
        <v>23.7048911819887</v>
      </c>
      <c r="GV27" s="99">
        <v>23.7791454033771</v>
      </c>
      <c r="GW27" s="99">
        <v>23.853399624765501</v>
      </c>
      <c r="GX27" s="99">
        <v>23.927653846153799</v>
      </c>
      <c r="GY27" s="99">
        <v>24.0019080675422</v>
      </c>
      <c r="GZ27" s="99">
        <v>24.0761622889306</v>
      </c>
      <c r="HA27" s="99">
        <v>24.150416510318902</v>
      </c>
      <c r="HB27" s="99">
        <v>24.224670731707299</v>
      </c>
      <c r="HC27" s="99">
        <v>24.2989249530957</v>
      </c>
      <c r="HD27" s="99">
        <v>24.373179174484001</v>
      </c>
      <c r="HE27" s="99">
        <v>24.447433395872402</v>
      </c>
      <c r="HF27" s="99">
        <v>24.521687617260799</v>
      </c>
      <c r="HG27" s="99">
        <v>24.5959418386491</v>
      </c>
      <c r="HH27" s="99">
        <v>24.670196060037501</v>
      </c>
      <c r="HI27" s="99">
        <v>24.744450281425902</v>
      </c>
      <c r="HJ27" s="99">
        <v>24.818704502814199</v>
      </c>
      <c r="HK27" s="99">
        <v>24.8929587242026</v>
      </c>
      <c r="HL27" s="99">
        <v>24.967212945591001</v>
      </c>
      <c r="HM27" s="99">
        <v>25.041467166979299</v>
      </c>
      <c r="HN27" s="99">
        <v>25.1157213883677</v>
      </c>
      <c r="HO27" s="99">
        <v>25.1899756097561</v>
      </c>
      <c r="HP27" s="99">
        <v>25.264229831144402</v>
      </c>
      <c r="HQ27" s="99">
        <v>25.338484052532799</v>
      </c>
      <c r="HR27" s="99">
        <v>25.4127382739212</v>
      </c>
      <c r="HS27" s="99">
        <v>25.486992495309501</v>
      </c>
      <c r="HT27" s="99">
        <v>25.561246716697902</v>
      </c>
      <c r="HU27" s="99">
        <v>25.635500938086299</v>
      </c>
      <c r="HV27" s="99">
        <v>25.7097551594746</v>
      </c>
      <c r="HW27" s="99">
        <v>25.784009380863001</v>
      </c>
      <c r="HX27" s="99">
        <v>25.858263602251402</v>
      </c>
      <c r="HY27" s="99">
        <v>25.932517823639699</v>
      </c>
      <c r="HZ27" s="99">
        <v>26.0067720450281</v>
      </c>
      <c r="IA27" s="99">
        <v>26.081026266416501</v>
      </c>
      <c r="IB27" s="99">
        <v>26.155280487804902</v>
      </c>
      <c r="IC27" s="99">
        <v>26.229534709193199</v>
      </c>
      <c r="ID27" s="99">
        <v>26.3037889305816</v>
      </c>
      <c r="IE27" s="99">
        <v>26.378043151970001</v>
      </c>
      <c r="IF27" s="99">
        <v>26.452297373358299</v>
      </c>
      <c r="IG27" s="99">
        <v>26.526551594746699</v>
      </c>
      <c r="IH27" s="99">
        <v>26.6008058161351</v>
      </c>
      <c r="II27" s="99">
        <v>26.675060037523401</v>
      </c>
      <c r="IJ27" s="99">
        <v>26.749314258911799</v>
      </c>
      <c r="IK27" s="99">
        <v>26.823568480300199</v>
      </c>
      <c r="IL27" s="99">
        <v>26.897822701688501</v>
      </c>
      <c r="IM27" s="99">
        <v>26.972076923076902</v>
      </c>
      <c r="IN27" s="99">
        <v>27.046331144465299</v>
      </c>
      <c r="IO27" s="99">
        <v>27.1205853658536</v>
      </c>
      <c r="IP27" s="99">
        <v>27.194839587242001</v>
      </c>
      <c r="IQ27" s="99">
        <v>27.269093808630402</v>
      </c>
      <c r="IR27" s="99">
        <v>27.343348030018699</v>
      </c>
      <c r="IS27" s="99">
        <v>27.4176022514071</v>
      </c>
      <c r="IT27" s="99">
        <v>27.491856472795501</v>
      </c>
      <c r="IU27" s="99">
        <v>27.566110694183799</v>
      </c>
      <c r="IV27" s="99">
        <v>27.640364915572199</v>
      </c>
      <c r="IW27" s="99">
        <v>27.7146191369606</v>
      </c>
      <c r="IX27" s="99">
        <v>27.788873358348901</v>
      </c>
      <c r="IY27" s="99">
        <v>27.863127579737299</v>
      </c>
      <c r="IZ27" s="99">
        <v>27.937381801125699</v>
      </c>
      <c r="JA27" s="99">
        <v>28.011636022514001</v>
      </c>
      <c r="JB27" s="99">
        <v>28.085890243902401</v>
      </c>
      <c r="JC27" s="99">
        <v>28.160144465290799</v>
      </c>
      <c r="JD27" s="99">
        <v>28.2343986866791</v>
      </c>
      <c r="JE27" s="99">
        <v>28.308652908067501</v>
      </c>
      <c r="JF27" s="99">
        <v>28.382907129455901</v>
      </c>
      <c r="JG27" s="99">
        <v>28.457161350844299</v>
      </c>
      <c r="JH27" s="99">
        <v>28.5314155722326</v>
      </c>
      <c r="JI27" s="99">
        <v>28.605669793621001</v>
      </c>
      <c r="JJ27" s="99">
        <v>28.679924015009401</v>
      </c>
      <c r="JK27" s="99">
        <v>28.754178236397699</v>
      </c>
      <c r="JL27" s="99">
        <v>28.8284324577861</v>
      </c>
      <c r="JM27" s="99">
        <v>28.902686679174501</v>
      </c>
      <c r="JN27" s="99">
        <v>28.976940900562798</v>
      </c>
      <c r="JO27" s="99">
        <v>29.051195121951199</v>
      </c>
      <c r="JP27" s="99">
        <v>29.1254493433396</v>
      </c>
      <c r="JQ27" s="99">
        <v>29.199703564727901</v>
      </c>
      <c r="JR27" s="99">
        <v>29.273957786116299</v>
      </c>
      <c r="JS27" s="99">
        <v>29.348212007504699</v>
      </c>
      <c r="JT27" s="99">
        <v>29.422466228893001</v>
      </c>
      <c r="JU27" s="99">
        <v>29.496720450281401</v>
      </c>
      <c r="JV27" s="99">
        <v>29.570974671669799</v>
      </c>
      <c r="JW27" s="99">
        <v>29.6452288930581</v>
      </c>
      <c r="JX27" s="99">
        <v>29.719483114446501</v>
      </c>
      <c r="JY27" s="99">
        <v>29.793737335834901</v>
      </c>
      <c r="JZ27" s="99">
        <v>29.867991557223199</v>
      </c>
      <c r="KA27" s="99">
        <v>29.9422457786116</v>
      </c>
      <c r="KB27" s="99">
        <v>30.016500000000001</v>
      </c>
      <c r="KC27" s="99">
        <v>30.090754221388298</v>
      </c>
      <c r="KD27" s="99">
        <v>30.165008442776699</v>
      </c>
      <c r="KE27" s="99">
        <v>30.2392626641651</v>
      </c>
      <c r="KF27" s="99">
        <v>30.313516885553401</v>
      </c>
      <c r="KG27" s="99">
        <v>30.387771106941798</v>
      </c>
      <c r="KH27" s="99">
        <v>30.462025328330199</v>
      </c>
      <c r="KI27" s="99">
        <v>30.5362795497186</v>
      </c>
      <c r="KJ27" s="99">
        <v>30.610533771106901</v>
      </c>
      <c r="KK27" s="99">
        <v>30.684787992495298</v>
      </c>
      <c r="KL27" s="99">
        <v>30.759042213883699</v>
      </c>
      <c r="KM27" s="99">
        <v>30.833296435272</v>
      </c>
      <c r="KN27" s="99">
        <v>30.907550656660401</v>
      </c>
      <c r="KO27" s="99">
        <v>30.981804878048798</v>
      </c>
      <c r="KP27" s="99">
        <v>31.0560590994371</v>
      </c>
      <c r="KQ27" s="99">
        <v>31.130313320825501</v>
      </c>
      <c r="KR27" s="99">
        <v>31.204567542213901</v>
      </c>
      <c r="KS27" s="99">
        <v>31.278821763602199</v>
      </c>
      <c r="KT27" s="99">
        <v>31.3530759849906</v>
      </c>
      <c r="KU27" s="99">
        <v>31.427330206379001</v>
      </c>
      <c r="KV27" s="99">
        <v>31.501584427767298</v>
      </c>
      <c r="KW27" s="99">
        <v>31.575838649155699</v>
      </c>
      <c r="KX27" s="99">
        <v>31.6500928705441</v>
      </c>
      <c r="KY27" s="99">
        <v>31.724347091932401</v>
      </c>
      <c r="KZ27" s="99">
        <v>31.798601313320798</v>
      </c>
      <c r="LA27" s="99">
        <v>31.872855534709199</v>
      </c>
      <c r="LB27" s="99">
        <v>31.9471097560975</v>
      </c>
      <c r="LC27" s="99">
        <v>32.021363977485898</v>
      </c>
      <c r="LD27" s="99">
        <v>32.095618198874298</v>
      </c>
      <c r="LE27" s="99">
        <v>32.1698724202626</v>
      </c>
      <c r="LF27" s="99">
        <v>32.244126641651</v>
      </c>
      <c r="LG27" s="99">
        <v>32.318380863039401</v>
      </c>
      <c r="LH27" s="99">
        <v>32.392635084427702</v>
      </c>
      <c r="LI27" s="99">
        <v>32.466889305816103</v>
      </c>
      <c r="LJ27" s="99">
        <v>32.541143527204497</v>
      </c>
      <c r="LK27" s="99">
        <v>32.615397748592798</v>
      </c>
      <c r="LL27" s="99">
        <v>32.689651969981199</v>
      </c>
      <c r="LM27" s="99">
        <v>32.7639061913696</v>
      </c>
      <c r="LN27" s="99">
        <v>32.838160412758</v>
      </c>
      <c r="LO27" s="99">
        <v>32.912414634146302</v>
      </c>
      <c r="LP27" s="99">
        <v>32.986668855534703</v>
      </c>
      <c r="LQ27" s="99">
        <v>33.060923076923103</v>
      </c>
      <c r="LR27" s="99">
        <v>33.135177298311397</v>
      </c>
      <c r="LS27" s="99">
        <v>33.209431519699798</v>
      </c>
      <c r="LT27" s="99">
        <v>33.283685741088199</v>
      </c>
      <c r="LU27" s="99">
        <v>33.3579399624765</v>
      </c>
      <c r="LV27" s="99">
        <v>33.432194183864901</v>
      </c>
      <c r="LW27" s="99">
        <v>33.506448405253302</v>
      </c>
      <c r="LX27" s="99">
        <v>33.580702626641603</v>
      </c>
      <c r="LY27" s="99">
        <v>33.654956848029997</v>
      </c>
      <c r="LZ27" s="99">
        <v>33.729211069418398</v>
      </c>
      <c r="MA27" s="99">
        <v>33.803465290806699</v>
      </c>
      <c r="MB27" s="99">
        <v>33.8777195121951</v>
      </c>
      <c r="MC27" s="99">
        <v>33.9519737335835</v>
      </c>
      <c r="MD27" s="99">
        <v>34.026227954971802</v>
      </c>
      <c r="ME27" s="99">
        <v>34.100482176360202</v>
      </c>
      <c r="MF27" s="99">
        <v>34.174736397748603</v>
      </c>
      <c r="MG27" s="99">
        <v>34.248990619136897</v>
      </c>
      <c r="MH27" s="99">
        <v>34.323244840525298</v>
      </c>
      <c r="MI27" s="99">
        <v>34.397499061913699</v>
      </c>
      <c r="MJ27" s="99">
        <v>34.471753283302</v>
      </c>
      <c r="MK27" s="99">
        <v>34.546007504690401</v>
      </c>
      <c r="ML27" s="99">
        <v>34.620261726078802</v>
      </c>
      <c r="MM27" s="99">
        <v>34.694515947467103</v>
      </c>
      <c r="MN27" s="99">
        <v>34.768770168855497</v>
      </c>
      <c r="MO27" s="99">
        <v>34.843024390243897</v>
      </c>
      <c r="MP27" s="99">
        <v>34.917278611632199</v>
      </c>
      <c r="MQ27" s="99">
        <v>34.991532833020599</v>
      </c>
      <c r="MR27" s="99">
        <v>35.065787054409</v>
      </c>
      <c r="MS27" s="99">
        <v>35.140041275797401</v>
      </c>
      <c r="MT27" s="99">
        <v>35.214295497185702</v>
      </c>
      <c r="MU27" s="99">
        <v>35.288549718574103</v>
      </c>
      <c r="MV27" s="99">
        <v>35.362803939962497</v>
      </c>
      <c r="MW27" s="99">
        <v>35.437058161350798</v>
      </c>
      <c r="MX27" s="99">
        <v>35.511312382739199</v>
      </c>
      <c r="MY27" s="99">
        <v>35.5855666041276</v>
      </c>
      <c r="MZ27" s="99">
        <v>35.659820825515901</v>
      </c>
      <c r="NA27" s="99">
        <v>35.734075046904302</v>
      </c>
      <c r="NB27" s="99">
        <v>35.808329268292702</v>
      </c>
      <c r="NC27" s="99">
        <v>35.882583489680997</v>
      </c>
      <c r="ND27" s="99">
        <v>35.956837711069397</v>
      </c>
      <c r="NE27" s="99">
        <v>36.031091932457798</v>
      </c>
      <c r="NF27" s="99">
        <v>36.105346153846099</v>
      </c>
      <c r="NG27" s="99">
        <v>36.1796003752345</v>
      </c>
      <c r="NH27" s="99">
        <v>36.253854596622901</v>
      </c>
      <c r="NI27" s="99">
        <v>36.328108818011202</v>
      </c>
      <c r="NJ27" s="99">
        <v>36.402363039399603</v>
      </c>
      <c r="NK27" s="99">
        <v>36.476617260787997</v>
      </c>
      <c r="NL27" s="99">
        <v>36.550871482176298</v>
      </c>
      <c r="NM27" s="99">
        <v>36.625125703564699</v>
      </c>
      <c r="NN27" s="99">
        <v>36.699379924953099</v>
      </c>
      <c r="NO27" s="99">
        <v>36.773634146341401</v>
      </c>
      <c r="NP27" s="99">
        <v>36.847888367729801</v>
      </c>
      <c r="NQ27" s="99">
        <v>36.922142589118202</v>
      </c>
      <c r="NR27" s="99">
        <v>36.996396810506504</v>
      </c>
      <c r="NS27" s="99">
        <v>37.070651031894897</v>
      </c>
      <c r="NT27" s="99">
        <v>37.144905253283298</v>
      </c>
      <c r="NU27" s="99">
        <v>37.219159474671599</v>
      </c>
      <c r="NV27" s="99">
        <v>37.29341369606</v>
      </c>
      <c r="NW27" s="99">
        <v>37.367667917448401</v>
      </c>
      <c r="NX27" s="99">
        <v>37.441922138836802</v>
      </c>
      <c r="NY27" s="99">
        <v>37.516176360225103</v>
      </c>
      <c r="NZ27" s="99">
        <v>37.590430581613496</v>
      </c>
      <c r="OA27" s="99">
        <v>37.664684803001897</v>
      </c>
      <c r="OB27" s="99">
        <v>37.738939024390199</v>
      </c>
      <c r="OC27" s="99">
        <v>37.813193245778599</v>
      </c>
      <c r="OD27" s="99">
        <v>37.887447467167</v>
      </c>
      <c r="OE27" s="99">
        <v>37.961701688555301</v>
      </c>
      <c r="OF27" s="99">
        <v>38.035955909943702</v>
      </c>
      <c r="OG27" s="99">
        <v>38.110210131332103</v>
      </c>
      <c r="OH27" s="99">
        <v>38.184464352720397</v>
      </c>
      <c r="OI27" s="99">
        <v>38.258718574108798</v>
      </c>
      <c r="OJ27" s="99">
        <v>38.332972795497199</v>
      </c>
      <c r="OK27" s="99">
        <v>38.4072270168855</v>
      </c>
      <c r="OL27" s="99">
        <v>38.481481238273901</v>
      </c>
      <c r="OM27" s="99">
        <v>38.555735459662301</v>
      </c>
      <c r="ON27" s="99">
        <v>38.629989681050603</v>
      </c>
      <c r="OO27" s="99">
        <v>38.704243902439003</v>
      </c>
      <c r="OP27" s="99">
        <v>38.778498123827397</v>
      </c>
      <c r="OQ27" s="99">
        <v>38.852752345215698</v>
      </c>
      <c r="OR27" s="99">
        <v>38.927006566604099</v>
      </c>
      <c r="OS27" s="99">
        <v>39.0012607879925</v>
      </c>
      <c r="OT27" s="99">
        <v>39.075515009380801</v>
      </c>
      <c r="OU27" s="99">
        <v>39.149769230769202</v>
      </c>
      <c r="OV27" s="99">
        <v>39.224023452157603</v>
      </c>
      <c r="OW27" s="99">
        <v>39.298277673545897</v>
      </c>
      <c r="OX27" s="99">
        <v>39.372531894934298</v>
      </c>
      <c r="OY27" s="99">
        <v>39.446786116322698</v>
      </c>
      <c r="OZ27" s="99">
        <v>39.521040337711</v>
      </c>
      <c r="PA27" s="99">
        <v>39.595294559099401</v>
      </c>
      <c r="PB27" s="99">
        <v>39.669548780487801</v>
      </c>
      <c r="PC27" s="99">
        <v>39.743803001876202</v>
      </c>
      <c r="PD27" s="99">
        <v>39.818057223264503</v>
      </c>
      <c r="PE27" s="99">
        <v>39.892311444652897</v>
      </c>
      <c r="PF27" s="99">
        <v>39.966565666041298</v>
      </c>
      <c r="PG27" s="99">
        <v>40.040819887429599</v>
      </c>
      <c r="PH27" s="99">
        <v>40.115074108818</v>
      </c>
      <c r="PI27" s="99">
        <v>40.189328330206401</v>
      </c>
      <c r="PJ27" s="99">
        <v>40.263582551594702</v>
      </c>
      <c r="PK27" s="99">
        <v>40.337836772983103</v>
      </c>
      <c r="PL27" s="99">
        <v>40.412090994371503</v>
      </c>
      <c r="PM27" s="99">
        <v>40.486345215759798</v>
      </c>
      <c r="PN27" s="99">
        <v>40.560599437148198</v>
      </c>
      <c r="PO27" s="99">
        <v>40.634853658536599</v>
      </c>
      <c r="PP27" s="99">
        <v>40.7091078799249</v>
      </c>
      <c r="PQ27" s="99">
        <v>40.783362101313301</v>
      </c>
      <c r="PR27" s="99">
        <v>40.857616322701702</v>
      </c>
      <c r="PS27" s="99">
        <v>40.931870544090003</v>
      </c>
      <c r="PT27" s="99">
        <v>41.006124765478397</v>
      </c>
      <c r="PU27" s="99">
        <v>41.080378986866798</v>
      </c>
      <c r="PV27" s="99">
        <v>41.154633208255099</v>
      </c>
      <c r="PW27" s="99">
        <v>41.2288874296435</v>
      </c>
      <c r="PX27" s="99">
        <v>41.3031416510319</v>
      </c>
      <c r="PY27" s="99">
        <v>41.377395872420202</v>
      </c>
      <c r="PZ27" s="99">
        <v>41.451650093808603</v>
      </c>
      <c r="QA27" s="99">
        <v>41.525904315197003</v>
      </c>
      <c r="QB27" s="99">
        <v>41.600158536585297</v>
      </c>
      <c r="QC27" s="99">
        <v>41.674412757973698</v>
      </c>
      <c r="QD27" s="99">
        <v>41.748666979362099</v>
      </c>
      <c r="QE27" s="99">
        <v>41.8229212007504</v>
      </c>
      <c r="QF27" s="99">
        <v>41.897175422138801</v>
      </c>
      <c r="QG27" s="99">
        <v>41.971429643527202</v>
      </c>
      <c r="QH27" s="99">
        <v>42.045683864915503</v>
      </c>
      <c r="QI27" s="99">
        <v>42.119938086303897</v>
      </c>
      <c r="QJ27" s="99">
        <v>42.194192307692298</v>
      </c>
      <c r="QK27" s="99">
        <v>42.268446529080698</v>
      </c>
      <c r="QL27" s="99">
        <v>42.342700750469</v>
      </c>
      <c r="QM27" s="99">
        <v>42.4169549718574</v>
      </c>
      <c r="QN27" s="99">
        <v>42.491209193245801</v>
      </c>
      <c r="QO27" s="99">
        <v>42.565463414634102</v>
      </c>
      <c r="QP27" s="99">
        <v>42.639717636022503</v>
      </c>
      <c r="QQ27" s="99">
        <v>42.713971857410897</v>
      </c>
      <c r="QR27" s="99">
        <v>42.788226078799198</v>
      </c>
      <c r="QS27" s="99">
        <v>42.862480300187599</v>
      </c>
      <c r="QT27" s="99">
        <v>42.936734521576</v>
      </c>
      <c r="QU27" s="99">
        <v>43.010988742964301</v>
      </c>
      <c r="QV27" s="99">
        <v>43.085242964352702</v>
      </c>
      <c r="QW27" s="99">
        <v>43.159497185741102</v>
      </c>
      <c r="QX27" s="99">
        <v>43.233751407129397</v>
      </c>
      <c r="QY27" s="99">
        <v>43.308005628517797</v>
      </c>
      <c r="QZ27" s="99">
        <v>43.382259849906198</v>
      </c>
      <c r="RA27" s="99">
        <v>43.4565140712945</v>
      </c>
      <c r="RB27" s="99">
        <v>43.5307682926829</v>
      </c>
      <c r="RC27" s="99">
        <v>43.605022514071301</v>
      </c>
      <c r="RD27" s="99">
        <v>43.679276735459602</v>
      </c>
      <c r="RE27" s="99">
        <v>43.753530956848003</v>
      </c>
      <c r="RF27" s="99">
        <v>43.827785178236397</v>
      </c>
      <c r="RG27" s="99">
        <v>43.902039399624698</v>
      </c>
      <c r="RH27" s="99">
        <v>43.976293621013099</v>
      </c>
      <c r="RI27" s="99">
        <v>44.0505478424015</v>
      </c>
      <c r="RJ27" s="99">
        <v>44.124802063789801</v>
      </c>
      <c r="RK27" s="99">
        <v>44.199056285178202</v>
      </c>
      <c r="RL27" s="99">
        <v>44.273310506566602</v>
      </c>
      <c r="RM27" s="99">
        <v>44.347564727954897</v>
      </c>
      <c r="RN27" s="99">
        <v>44.421818949343297</v>
      </c>
      <c r="RO27" s="99">
        <v>44.496073170731698</v>
      </c>
      <c r="RP27" s="99">
        <v>44.570327392120099</v>
      </c>
      <c r="RQ27" s="99">
        <v>44.6445816135084</v>
      </c>
      <c r="RR27" s="99">
        <v>44.718835834896801</v>
      </c>
      <c r="RS27" s="99">
        <v>44.793090056285202</v>
      </c>
      <c r="RT27" s="99">
        <v>44.867344277673503</v>
      </c>
      <c r="RU27" s="99">
        <v>44.941598499061897</v>
      </c>
      <c r="RV27" s="99">
        <v>45.015852720450297</v>
      </c>
      <c r="RW27" s="99">
        <v>45.090106941838599</v>
      </c>
      <c r="RX27" s="99">
        <v>45.164361163226999</v>
      </c>
      <c r="RY27" s="99">
        <v>45.2386153846154</v>
      </c>
      <c r="RZ27" s="99">
        <v>45.312869606003702</v>
      </c>
      <c r="SA27" s="99">
        <v>45.387123827392102</v>
      </c>
      <c r="SB27" s="99">
        <v>45.461378048780503</v>
      </c>
      <c r="SC27" s="99">
        <v>45.535632270168797</v>
      </c>
      <c r="SD27" s="99">
        <v>45.609886491557198</v>
      </c>
      <c r="SE27" s="99">
        <v>45.684140712945599</v>
      </c>
      <c r="SF27" s="99">
        <v>45.7583949343339</v>
      </c>
      <c r="SG27" s="99">
        <v>45.832649155722301</v>
      </c>
      <c r="SH27" s="99">
        <v>45.906903377110702</v>
      </c>
      <c r="SI27" s="99">
        <v>45.981157598499003</v>
      </c>
      <c r="SJ27" s="99">
        <v>46.055411819887397</v>
      </c>
      <c r="SK27" s="99">
        <v>46.129666041275797</v>
      </c>
      <c r="SL27" s="99">
        <v>46.203920262664099</v>
      </c>
      <c r="SM27" s="99">
        <v>46.278174484052499</v>
      </c>
      <c r="SN27" s="99">
        <v>46.3524287054409</v>
      </c>
      <c r="SO27" s="99">
        <v>46.426682926829201</v>
      </c>
      <c r="SP27" s="99">
        <v>46.500937148217602</v>
      </c>
      <c r="SQ27" s="99">
        <v>46.575191369606003</v>
      </c>
      <c r="SR27" s="99">
        <v>46.649445590994397</v>
      </c>
      <c r="SS27" s="99">
        <v>46.723699812382698</v>
      </c>
      <c r="ST27" s="99">
        <v>46.797954033771099</v>
      </c>
      <c r="SU27" s="99">
        <v>46.872208255159499</v>
      </c>
      <c r="SV27" s="99">
        <v>46.946462476547801</v>
      </c>
      <c r="SW27" s="99">
        <v>47.020716697936201</v>
      </c>
      <c r="SX27" s="99">
        <v>47.094970919324602</v>
      </c>
      <c r="SY27" s="99">
        <v>47.169225140712904</v>
      </c>
      <c r="SZ27" s="99">
        <v>47.243479362101297</v>
      </c>
      <c r="TA27" s="99">
        <v>47.317733583489698</v>
      </c>
      <c r="TB27" s="99">
        <v>47.391987804877999</v>
      </c>
      <c r="TC27" s="99">
        <v>47.4662420262664</v>
      </c>
      <c r="TD27" s="99">
        <v>47.540496247654801</v>
      </c>
      <c r="TE27" s="99">
        <v>47.614750469043102</v>
      </c>
      <c r="TF27" s="99">
        <v>47.689004690431503</v>
      </c>
      <c r="TG27" s="99">
        <v>47.763258911819896</v>
      </c>
      <c r="TH27" s="99">
        <v>47.837513133208198</v>
      </c>
      <c r="TI27" s="99">
        <v>47.911767354596599</v>
      </c>
      <c r="TJ27" s="99">
        <v>47.986021575984999</v>
      </c>
      <c r="TK27" s="99">
        <v>48.060275797373301</v>
      </c>
      <c r="TL27" s="99">
        <v>48.134530018761701</v>
      </c>
      <c r="TM27" s="99">
        <v>48.208784240150102</v>
      </c>
      <c r="TN27" s="99">
        <v>48.283038461538403</v>
      </c>
      <c r="TO27" s="99">
        <v>48.357292682926797</v>
      </c>
      <c r="TP27" s="99">
        <v>48.431546904315198</v>
      </c>
      <c r="TQ27" s="99">
        <v>48.505801125703499</v>
      </c>
      <c r="TR27" s="99">
        <v>48.5800553470919</v>
      </c>
      <c r="TS27" s="99">
        <v>48.654309568480301</v>
      </c>
      <c r="TT27" s="99">
        <v>48.728563789868602</v>
      </c>
      <c r="TU27" s="99">
        <v>48.802818011257003</v>
      </c>
      <c r="TV27" s="99">
        <v>48.877072232645403</v>
      </c>
      <c r="TW27" s="99">
        <v>48.951326454033797</v>
      </c>
      <c r="TX27" s="99">
        <v>49.025580675422098</v>
      </c>
      <c r="TY27" s="99">
        <v>49.099834896810499</v>
      </c>
      <c r="TZ27" s="99">
        <v>49.1740891181989</v>
      </c>
      <c r="UA27" s="99">
        <v>49.248343339587201</v>
      </c>
      <c r="UB27" s="99">
        <v>49.322597560975602</v>
      </c>
      <c r="UC27" s="99">
        <v>49.396851782364003</v>
      </c>
      <c r="UD27" s="99">
        <v>49.471106003752297</v>
      </c>
      <c r="UE27" s="99">
        <v>49.545360225140698</v>
      </c>
      <c r="UF27" s="99">
        <v>49.619614446529098</v>
      </c>
      <c r="UG27" s="99">
        <v>49.6938686679174</v>
      </c>
      <c r="UH27" s="99">
        <v>49.768122889305801</v>
      </c>
      <c r="UI27" s="99">
        <v>49.842377110694201</v>
      </c>
      <c r="UJ27" s="99">
        <v>49.916631332082503</v>
      </c>
      <c r="UK27" s="99">
        <v>49.990885553470903</v>
      </c>
      <c r="UL27" s="99">
        <v>50.065139774859297</v>
      </c>
      <c r="UM27" s="99">
        <v>50.139393996247598</v>
      </c>
      <c r="UN27" s="99">
        <v>50.213648217635999</v>
      </c>
      <c r="UO27" s="99">
        <v>50.2879024390244</v>
      </c>
      <c r="UP27" s="99">
        <v>50.362156660412701</v>
      </c>
      <c r="UQ27" s="99">
        <v>50.436410881801102</v>
      </c>
      <c r="UR27" s="99">
        <v>50.510665103189503</v>
      </c>
      <c r="US27" s="99">
        <v>50.584919324577797</v>
      </c>
      <c r="UT27" s="99">
        <v>50.659173545966198</v>
      </c>
    </row>
    <row r="28" spans="1:566" x14ac:dyDescent="0.2">
      <c r="A28" s="89">
        <v>11</v>
      </c>
      <c r="B28" s="90">
        <v>8.68</v>
      </c>
      <c r="C28" s="90">
        <v>8.75</v>
      </c>
      <c r="D28" s="90">
        <v>8.82</v>
      </c>
      <c r="E28" s="90">
        <v>8.9</v>
      </c>
      <c r="F28" s="90">
        <v>8.9700000000000006</v>
      </c>
      <c r="G28" s="90">
        <v>9.0399999999999991</v>
      </c>
      <c r="H28" s="90">
        <v>9.1199999999999992</v>
      </c>
      <c r="I28" s="90">
        <v>9.19</v>
      </c>
      <c r="J28" s="90">
        <v>9.26</v>
      </c>
      <c r="K28" s="90">
        <v>9.34</v>
      </c>
      <c r="L28" s="90">
        <v>9.41</v>
      </c>
      <c r="M28" s="90">
        <v>9.48</v>
      </c>
      <c r="N28" s="90">
        <v>9.56</v>
      </c>
      <c r="O28" s="90">
        <v>9.6300000000000008</v>
      </c>
      <c r="P28" s="90">
        <v>9.7100000000000009</v>
      </c>
      <c r="Q28" s="90">
        <v>9.7799999999999994</v>
      </c>
      <c r="R28" s="90">
        <v>9.85</v>
      </c>
      <c r="S28" s="90">
        <v>9.93</v>
      </c>
      <c r="T28" s="90">
        <v>10</v>
      </c>
      <c r="U28" s="91">
        <v>10.07</v>
      </c>
      <c r="V28" s="90">
        <v>10.15</v>
      </c>
      <c r="W28" s="90">
        <v>10.220000000000001</v>
      </c>
      <c r="X28" s="90">
        <v>10.29</v>
      </c>
      <c r="Y28" s="90">
        <v>10.37</v>
      </c>
      <c r="Z28" s="90">
        <v>10.44</v>
      </c>
      <c r="AA28" s="90">
        <v>10.51</v>
      </c>
      <c r="AB28" s="90">
        <v>10.59</v>
      </c>
      <c r="AC28" s="90">
        <v>10.66</v>
      </c>
      <c r="AD28" s="90">
        <v>10.73</v>
      </c>
      <c r="AE28" s="90">
        <v>10.81</v>
      </c>
      <c r="AF28" s="90">
        <v>10.88</v>
      </c>
      <c r="AG28" s="90">
        <v>10.95</v>
      </c>
      <c r="AH28" s="90">
        <v>11.03</v>
      </c>
      <c r="AI28" s="90">
        <v>11.1</v>
      </c>
      <c r="AJ28" s="90">
        <v>11.17</v>
      </c>
      <c r="AK28" s="90">
        <v>11.25</v>
      </c>
      <c r="AL28" s="90">
        <v>11.32</v>
      </c>
      <c r="AM28" s="90">
        <v>11.39</v>
      </c>
      <c r="AN28" s="90">
        <v>11.47</v>
      </c>
      <c r="AO28" s="91">
        <v>11.54</v>
      </c>
      <c r="AP28" s="90">
        <v>11.6145</v>
      </c>
      <c r="AQ28" s="90">
        <v>11.6879390243902</v>
      </c>
      <c r="AR28" s="90">
        <v>11.7613780487805</v>
      </c>
      <c r="AS28" s="90">
        <v>11.834817073170701</v>
      </c>
      <c r="AT28" s="90">
        <v>11.908256097561001</v>
      </c>
      <c r="AU28" s="90">
        <v>11.9816951219512</v>
      </c>
      <c r="AV28" s="90">
        <v>12.0551341463415</v>
      </c>
      <c r="AW28" s="90">
        <v>12.1285731707317</v>
      </c>
      <c r="AX28" s="90">
        <v>12.202012195122</v>
      </c>
      <c r="AY28" s="90">
        <v>12.275451219512201</v>
      </c>
      <c r="AZ28" s="90">
        <v>12.3488902439024</v>
      </c>
      <c r="BA28" s="90">
        <v>12.4223292682927</v>
      </c>
      <c r="BB28" s="90">
        <v>12.4957682926829</v>
      </c>
      <c r="BC28" s="90">
        <v>12.5692073170732</v>
      </c>
      <c r="BD28" s="90">
        <v>12.642646341463401</v>
      </c>
      <c r="BE28" s="90">
        <v>12.716085365853701</v>
      </c>
      <c r="BF28" s="90">
        <v>12.7895243902439</v>
      </c>
      <c r="BG28" s="90">
        <v>12.8629634146341</v>
      </c>
      <c r="BH28" s="90">
        <v>12.9364024390244</v>
      </c>
      <c r="BI28" s="91">
        <v>13.009841463414601</v>
      </c>
      <c r="BJ28" s="90">
        <v>13.083280487804901</v>
      </c>
      <c r="BK28" s="99">
        <v>13.156719512195099</v>
      </c>
      <c r="BL28" s="99">
        <v>13.2301585365854</v>
      </c>
      <c r="BM28" s="99">
        <v>13.3035975609756</v>
      </c>
      <c r="BN28" s="99">
        <v>13.3770365853659</v>
      </c>
      <c r="BO28" s="99">
        <v>13.450475609756101</v>
      </c>
      <c r="BP28" s="99">
        <v>13.523914634146299</v>
      </c>
      <c r="BQ28" s="99">
        <v>13.597353658536599</v>
      </c>
      <c r="BR28" s="99">
        <v>13.6707926829268</v>
      </c>
      <c r="BS28" s="99">
        <v>13.7442317073171</v>
      </c>
      <c r="BT28" s="99">
        <v>13.817670731707301</v>
      </c>
      <c r="BU28" s="99">
        <v>13.891109756097601</v>
      </c>
      <c r="BV28" s="99">
        <v>13.964548780487799</v>
      </c>
      <c r="BW28" s="99">
        <v>14.037987804878099</v>
      </c>
      <c r="BX28" s="99">
        <v>14.1114268292683</v>
      </c>
      <c r="BY28" s="99">
        <v>14.184865853658501</v>
      </c>
      <c r="BZ28" s="99">
        <v>14.258304878048801</v>
      </c>
      <c r="CA28" s="99">
        <v>14.331743902438999</v>
      </c>
      <c r="CB28" s="99">
        <v>14.405182926829299</v>
      </c>
      <c r="CC28" s="99">
        <v>14.4786219512195</v>
      </c>
      <c r="CD28" s="99">
        <v>14.5520609756098</v>
      </c>
      <c r="CE28" s="99">
        <v>14.625500000000001</v>
      </c>
      <c r="CF28" s="99">
        <v>14.698939024390199</v>
      </c>
      <c r="CG28" s="99">
        <v>14.772378048780499</v>
      </c>
      <c r="CH28" s="99">
        <v>14.8458170731707</v>
      </c>
      <c r="CI28" s="99">
        <v>14.919256097561</v>
      </c>
      <c r="CJ28" s="99">
        <v>14.992695121951201</v>
      </c>
      <c r="CK28" s="99">
        <v>15.066134146341501</v>
      </c>
      <c r="CL28" s="99">
        <v>15.139573170731699</v>
      </c>
      <c r="CM28" s="99">
        <v>15.213012195121999</v>
      </c>
      <c r="CN28" s="99">
        <v>15.2864512195122</v>
      </c>
      <c r="CO28" s="99">
        <v>15.359890243902401</v>
      </c>
      <c r="CP28" s="99">
        <v>15.433329268292701</v>
      </c>
      <c r="CQ28" s="99">
        <v>15.506768292682899</v>
      </c>
      <c r="CR28" s="99">
        <v>15.580207317073199</v>
      </c>
      <c r="CS28" s="99">
        <v>15.6536463414634</v>
      </c>
      <c r="CT28" s="99">
        <v>15.7270853658537</v>
      </c>
      <c r="CU28" s="99">
        <v>15.800524390243901</v>
      </c>
      <c r="CV28" s="99">
        <v>15.873963414634099</v>
      </c>
      <c r="CW28" s="99">
        <v>15.947402439024399</v>
      </c>
      <c r="CX28" s="99">
        <v>16.020841463414602</v>
      </c>
      <c r="CY28" s="99">
        <v>16.094280487804902</v>
      </c>
      <c r="CZ28" s="99">
        <v>16.167719512195099</v>
      </c>
      <c r="DA28" s="99">
        <v>16.241158536585399</v>
      </c>
      <c r="DB28" s="99">
        <v>16.314597560975599</v>
      </c>
      <c r="DC28" s="99">
        <v>16.388036585365899</v>
      </c>
      <c r="DD28" s="99">
        <v>16.4614756097561</v>
      </c>
      <c r="DE28" s="99">
        <v>16.5349146341463</v>
      </c>
      <c r="DF28" s="99">
        <v>16.608353658536601</v>
      </c>
      <c r="DG28" s="99">
        <v>16.681792682926801</v>
      </c>
      <c r="DH28" s="99">
        <v>16.755231707317101</v>
      </c>
      <c r="DI28" s="99">
        <v>16.828670731707302</v>
      </c>
      <c r="DJ28" s="99">
        <v>16.902109756097602</v>
      </c>
      <c r="DK28" s="99">
        <v>16.975548780487799</v>
      </c>
      <c r="DL28" s="99">
        <v>17.048987804878099</v>
      </c>
      <c r="DM28" s="99">
        <v>17.122426829268299</v>
      </c>
      <c r="DN28" s="99">
        <v>17.1958658536585</v>
      </c>
      <c r="DO28" s="99">
        <v>17.2693048780488</v>
      </c>
      <c r="DP28" s="99">
        <v>17.342743902439</v>
      </c>
      <c r="DQ28" s="99">
        <v>17.4161829268293</v>
      </c>
      <c r="DR28" s="99">
        <v>17.489621951219501</v>
      </c>
      <c r="DS28" s="99">
        <v>17.563060975609801</v>
      </c>
      <c r="DT28" s="99">
        <v>17.636500000000002</v>
      </c>
      <c r="DU28" s="99">
        <v>17.709939024390199</v>
      </c>
      <c r="DV28" s="99">
        <v>17.783378048780499</v>
      </c>
      <c r="DW28" s="99">
        <v>17.856817073170699</v>
      </c>
      <c r="DX28" s="99">
        <v>17.930256097560999</v>
      </c>
      <c r="DY28" s="99">
        <v>18.0036951219512</v>
      </c>
      <c r="DZ28" s="99">
        <v>18.0771341463415</v>
      </c>
      <c r="EA28" s="99">
        <v>18.1505731707317</v>
      </c>
      <c r="EB28" s="99">
        <v>18.224012195122</v>
      </c>
      <c r="EC28" s="99">
        <v>18.297451219512201</v>
      </c>
      <c r="ED28" s="99">
        <v>18.370890243902402</v>
      </c>
      <c r="EE28" s="99">
        <v>18.444329268292702</v>
      </c>
      <c r="EF28" s="99">
        <v>18.517768292682899</v>
      </c>
      <c r="EG28" s="99">
        <v>18.591207317073199</v>
      </c>
      <c r="EH28" s="99">
        <v>18.664646341463399</v>
      </c>
      <c r="EI28" s="99">
        <v>18.7380853658536</v>
      </c>
      <c r="EJ28" s="99">
        <v>18.8115243902439</v>
      </c>
      <c r="EK28" s="99">
        <v>18.8849634146341</v>
      </c>
      <c r="EL28" s="99">
        <v>18.958402439024301</v>
      </c>
      <c r="EM28" s="99">
        <v>19.031841463414601</v>
      </c>
      <c r="EN28" s="99">
        <v>19.105280487804801</v>
      </c>
      <c r="EO28" s="99">
        <v>19.178719512195102</v>
      </c>
      <c r="EP28" s="99">
        <v>19.252158536585299</v>
      </c>
      <c r="EQ28" s="99">
        <v>19.325597560975599</v>
      </c>
      <c r="ER28" s="99">
        <v>19.399036585365799</v>
      </c>
      <c r="ES28" s="99">
        <v>19.472475609756099</v>
      </c>
      <c r="ET28" s="99">
        <v>19.5459146341463</v>
      </c>
      <c r="EU28" s="99">
        <v>19.6193536585365</v>
      </c>
      <c r="EV28" s="99">
        <v>19.6927926829268</v>
      </c>
      <c r="EW28" s="99">
        <v>19.766231707317001</v>
      </c>
      <c r="EX28" s="99">
        <v>19.839670731707301</v>
      </c>
      <c r="EY28" s="99">
        <v>19.913109756097501</v>
      </c>
      <c r="EZ28" s="99">
        <v>19.986548780487801</v>
      </c>
      <c r="FA28" s="99">
        <v>20.059987804877998</v>
      </c>
      <c r="FB28" s="99">
        <v>20.133426829268199</v>
      </c>
      <c r="FC28" s="99">
        <v>20.206865853658499</v>
      </c>
      <c r="FD28" s="99">
        <v>20.2803048780487</v>
      </c>
      <c r="FE28" s="99">
        <v>20.353743902439</v>
      </c>
      <c r="FF28" s="99">
        <v>20.4271829268292</v>
      </c>
      <c r="FG28" s="99">
        <v>20.5006219512195</v>
      </c>
      <c r="FH28" s="99">
        <v>20.574060975609701</v>
      </c>
      <c r="FI28" s="99">
        <v>20.647500000000001</v>
      </c>
      <c r="FJ28" s="99">
        <v>20.720939024390201</v>
      </c>
      <c r="FK28" s="99">
        <v>20.794378048780398</v>
      </c>
      <c r="FL28" s="99">
        <v>20.867817073170698</v>
      </c>
      <c r="FM28" s="99">
        <v>20.941256097560899</v>
      </c>
      <c r="FN28" s="99">
        <v>21.014695121951199</v>
      </c>
      <c r="FO28" s="99">
        <v>21.0881341463414</v>
      </c>
      <c r="FP28" s="99">
        <v>21.1615731707317</v>
      </c>
      <c r="FQ28" s="99">
        <v>21.2350121951219</v>
      </c>
      <c r="FR28" s="99">
        <v>21.3084512195122</v>
      </c>
      <c r="FS28" s="99">
        <v>21.381890243902401</v>
      </c>
      <c r="FT28" s="99">
        <v>21.455329268292601</v>
      </c>
      <c r="FU28" s="99">
        <v>21.528768292682901</v>
      </c>
      <c r="FV28" s="99">
        <v>21.602207317073098</v>
      </c>
      <c r="FW28" s="99">
        <v>21.675646341463398</v>
      </c>
      <c r="FX28" s="99">
        <v>21.749085365853599</v>
      </c>
      <c r="FY28" s="99">
        <v>21.822524390243899</v>
      </c>
      <c r="FZ28" s="99">
        <v>21.8959634146341</v>
      </c>
      <c r="GA28" s="99">
        <v>21.9694024390243</v>
      </c>
      <c r="GB28" s="99">
        <v>22.0428414634146</v>
      </c>
      <c r="GC28" s="99">
        <v>22.116280487804801</v>
      </c>
      <c r="GD28" s="99">
        <v>22.189719512195101</v>
      </c>
      <c r="GE28" s="99">
        <v>22.263158536585301</v>
      </c>
      <c r="GF28" s="99">
        <v>22.336597560975601</v>
      </c>
      <c r="GG28" s="99">
        <v>22.410036585365798</v>
      </c>
      <c r="GH28" s="99">
        <v>22.483475609756098</v>
      </c>
      <c r="GI28" s="99">
        <v>22.556914634146299</v>
      </c>
      <c r="GJ28" s="99">
        <v>22.630353658536499</v>
      </c>
      <c r="GK28" s="99">
        <v>22.7037926829268</v>
      </c>
      <c r="GL28" s="99">
        <v>22.777231707317</v>
      </c>
      <c r="GM28" s="99">
        <v>22.8506707317073</v>
      </c>
      <c r="GN28" s="99">
        <v>22.924109756097501</v>
      </c>
      <c r="GO28" s="99">
        <v>22.997548780487801</v>
      </c>
      <c r="GP28" s="99">
        <v>23.070987804878001</v>
      </c>
      <c r="GQ28" s="99">
        <v>23.144426829268301</v>
      </c>
      <c r="GR28" s="99">
        <v>23.217865853658498</v>
      </c>
      <c r="GS28" s="99">
        <v>23.291304878048699</v>
      </c>
      <c r="GT28" s="99">
        <v>23.364743902438999</v>
      </c>
      <c r="GU28" s="99">
        <v>23.438182926829199</v>
      </c>
      <c r="GV28" s="99">
        <v>23.511621951219499</v>
      </c>
      <c r="GW28" s="99">
        <v>23.5850609756097</v>
      </c>
      <c r="GX28" s="99">
        <v>23.6585</v>
      </c>
      <c r="GY28" s="99">
        <v>23.731939024390201</v>
      </c>
      <c r="GZ28" s="99">
        <v>23.805378048780401</v>
      </c>
      <c r="HA28" s="99">
        <v>23.878817073170701</v>
      </c>
      <c r="HB28" s="99">
        <v>23.952256097560898</v>
      </c>
      <c r="HC28" s="99">
        <v>24.025695121951198</v>
      </c>
      <c r="HD28" s="99">
        <v>24.099134146341399</v>
      </c>
      <c r="HE28" s="99">
        <v>24.172573170731699</v>
      </c>
      <c r="HF28" s="99">
        <v>24.246012195121899</v>
      </c>
      <c r="HG28" s="99">
        <v>24.319451219512199</v>
      </c>
      <c r="HH28" s="99">
        <v>24.3928902439024</v>
      </c>
      <c r="HI28" s="99">
        <v>24.466329268292601</v>
      </c>
      <c r="HJ28" s="99">
        <v>24.539768292682901</v>
      </c>
      <c r="HK28" s="99">
        <v>24.613207317073101</v>
      </c>
      <c r="HL28" s="99">
        <v>24.686646341463401</v>
      </c>
      <c r="HM28" s="99">
        <v>24.760085365853602</v>
      </c>
      <c r="HN28" s="99">
        <v>24.833524390243898</v>
      </c>
      <c r="HO28" s="99">
        <v>24.906963414634099</v>
      </c>
      <c r="HP28" s="99">
        <v>24.980402439024299</v>
      </c>
      <c r="HQ28" s="99">
        <v>25.053841463414599</v>
      </c>
      <c r="HR28" s="99">
        <v>25.1272804878048</v>
      </c>
      <c r="HS28" s="99">
        <v>25.2007195121951</v>
      </c>
      <c r="HT28" s="99">
        <v>25.274158536585301</v>
      </c>
      <c r="HU28" s="99">
        <v>25.347597560975601</v>
      </c>
      <c r="HV28" s="99">
        <v>25.421036585365801</v>
      </c>
      <c r="HW28" s="99">
        <v>25.494475609756101</v>
      </c>
      <c r="HX28" s="99">
        <v>25.567914634146302</v>
      </c>
      <c r="HY28" s="99">
        <v>25.641353658536499</v>
      </c>
      <c r="HZ28" s="99">
        <v>25.714792682926799</v>
      </c>
      <c r="IA28" s="99">
        <v>25.788231707316999</v>
      </c>
      <c r="IB28" s="99">
        <v>25.861670731707299</v>
      </c>
      <c r="IC28" s="99">
        <v>25.9351097560975</v>
      </c>
      <c r="ID28" s="99">
        <v>26.0085487804878</v>
      </c>
      <c r="IE28" s="99">
        <v>26.081987804878001</v>
      </c>
      <c r="IF28" s="99">
        <v>26.155426829268201</v>
      </c>
      <c r="IG28" s="99">
        <v>26.228865853658501</v>
      </c>
      <c r="IH28" s="99">
        <v>26.302304878048702</v>
      </c>
      <c r="II28" s="99">
        <v>26.375743902439002</v>
      </c>
      <c r="IJ28" s="99">
        <v>26.449182926829199</v>
      </c>
      <c r="IK28" s="99">
        <v>26.522621951219499</v>
      </c>
      <c r="IL28" s="99">
        <v>26.596060975609699</v>
      </c>
      <c r="IM28" s="99">
        <v>26.669499999999999</v>
      </c>
      <c r="IN28" s="99">
        <v>26.7429390243902</v>
      </c>
      <c r="IO28" s="99">
        <v>26.8163780487804</v>
      </c>
      <c r="IP28" s="99">
        <v>26.8898170731707</v>
      </c>
      <c r="IQ28" s="99">
        <v>26.963256097560901</v>
      </c>
      <c r="IR28" s="99">
        <v>27.036695121951201</v>
      </c>
      <c r="IS28" s="99">
        <v>27.110134146341402</v>
      </c>
      <c r="IT28" s="99">
        <v>27.183573170731702</v>
      </c>
      <c r="IU28" s="99">
        <v>27.257012195121899</v>
      </c>
      <c r="IV28" s="99">
        <v>27.330451219512199</v>
      </c>
      <c r="IW28" s="99">
        <v>27.403890243902399</v>
      </c>
      <c r="IX28" s="99">
        <v>27.4773292682926</v>
      </c>
      <c r="IY28" s="99">
        <v>27.5507682926829</v>
      </c>
      <c r="IZ28" s="99">
        <v>27.6242073170731</v>
      </c>
      <c r="JA28" s="99">
        <v>27.6976463414634</v>
      </c>
      <c r="JB28" s="99">
        <v>27.771085365853601</v>
      </c>
      <c r="JC28" s="99">
        <v>27.844524390243901</v>
      </c>
      <c r="JD28" s="99">
        <v>27.917963414634102</v>
      </c>
      <c r="JE28" s="99">
        <v>27.991402439024299</v>
      </c>
      <c r="JF28" s="99">
        <v>28.064841463414599</v>
      </c>
      <c r="JG28" s="99">
        <v>28.138280487804799</v>
      </c>
      <c r="JH28" s="99">
        <v>28.211719512195099</v>
      </c>
      <c r="JI28" s="99">
        <v>28.2851585365853</v>
      </c>
      <c r="JJ28" s="99">
        <v>28.3585975609756</v>
      </c>
      <c r="JK28" s="99">
        <v>28.4320365853658</v>
      </c>
      <c r="JL28" s="99">
        <v>28.5054756097561</v>
      </c>
      <c r="JM28" s="99">
        <v>28.578914634146301</v>
      </c>
      <c r="JN28" s="99">
        <v>28.652353658536502</v>
      </c>
      <c r="JO28" s="99">
        <v>28.725792682926802</v>
      </c>
      <c r="JP28" s="99">
        <v>28.799231707316999</v>
      </c>
      <c r="JQ28" s="99">
        <v>28.872670731707299</v>
      </c>
      <c r="JR28" s="99">
        <v>28.946109756097499</v>
      </c>
      <c r="JS28" s="99">
        <v>29.019548780487799</v>
      </c>
      <c r="JT28" s="99">
        <v>29.092987804878</v>
      </c>
      <c r="JU28" s="99">
        <v>29.1664268292683</v>
      </c>
      <c r="JV28" s="99">
        <v>29.2398658536585</v>
      </c>
      <c r="JW28" s="99">
        <v>29.313304878048701</v>
      </c>
      <c r="JX28" s="99">
        <v>29.386743902439001</v>
      </c>
      <c r="JY28" s="99">
        <v>29.460182926829201</v>
      </c>
      <c r="JZ28" s="99">
        <v>29.533621951219502</v>
      </c>
      <c r="KA28" s="99">
        <v>29.607060975609699</v>
      </c>
      <c r="KB28" s="99">
        <v>29.680499999999999</v>
      </c>
      <c r="KC28" s="99">
        <v>29.753939024390199</v>
      </c>
      <c r="KD28" s="99">
        <v>29.8273780487804</v>
      </c>
      <c r="KE28" s="99">
        <v>29.9008170731707</v>
      </c>
      <c r="KF28" s="99">
        <v>29.9742560975609</v>
      </c>
      <c r="KG28" s="99">
        <v>30.0476951219512</v>
      </c>
      <c r="KH28" s="99">
        <v>30.121134146341401</v>
      </c>
      <c r="KI28" s="99">
        <v>30.194573170731701</v>
      </c>
      <c r="KJ28" s="99">
        <v>30.268012195121901</v>
      </c>
      <c r="KK28" s="99">
        <v>30.341451219512201</v>
      </c>
      <c r="KL28" s="99">
        <v>30.414890243902398</v>
      </c>
      <c r="KM28" s="99">
        <v>30.488329268292599</v>
      </c>
      <c r="KN28" s="99">
        <v>30.561768292682899</v>
      </c>
      <c r="KO28" s="99">
        <v>30.6352073170731</v>
      </c>
      <c r="KP28" s="99">
        <v>30.7086463414634</v>
      </c>
      <c r="KQ28" s="99">
        <v>30.7820853658536</v>
      </c>
      <c r="KR28" s="99">
        <v>30.8555243902439</v>
      </c>
      <c r="KS28" s="99">
        <v>30.928963414634101</v>
      </c>
      <c r="KT28" s="99">
        <v>31.002402439024401</v>
      </c>
      <c r="KU28" s="99">
        <v>31.075841463414601</v>
      </c>
      <c r="KV28" s="99">
        <v>31.149280487804798</v>
      </c>
      <c r="KW28" s="99">
        <v>31.222719512195098</v>
      </c>
      <c r="KX28" s="99">
        <v>31.296158536585299</v>
      </c>
      <c r="KY28" s="99">
        <v>31.369597560975599</v>
      </c>
      <c r="KZ28" s="99">
        <v>31.4430365853658</v>
      </c>
      <c r="LA28" s="99">
        <v>31.5164756097561</v>
      </c>
      <c r="LB28" s="99">
        <v>31.5899146341463</v>
      </c>
      <c r="LC28" s="99">
        <v>31.663353658536501</v>
      </c>
      <c r="LD28" s="99">
        <v>31.736792682926801</v>
      </c>
      <c r="LE28" s="99">
        <v>31.810231707317001</v>
      </c>
      <c r="LF28" s="99">
        <v>31.883670731707301</v>
      </c>
      <c r="LG28" s="99">
        <v>31.957109756097498</v>
      </c>
      <c r="LH28" s="99">
        <v>32.030548780487798</v>
      </c>
      <c r="LI28" s="99">
        <v>32.103987804878003</v>
      </c>
      <c r="LJ28" s="99">
        <v>32.177426829268299</v>
      </c>
      <c r="LK28" s="99">
        <v>32.250865853658503</v>
      </c>
      <c r="LL28" s="99">
        <v>32.3243048780487</v>
      </c>
      <c r="LM28" s="99">
        <v>32.397743902438997</v>
      </c>
      <c r="LN28" s="99">
        <v>32.471182926829201</v>
      </c>
      <c r="LO28" s="99">
        <v>32.544621951219497</v>
      </c>
      <c r="LP28" s="99">
        <v>32.618060975609701</v>
      </c>
      <c r="LQ28" s="99">
        <v>32.691499999999998</v>
      </c>
      <c r="LR28" s="99">
        <v>32.764939024390202</v>
      </c>
      <c r="LS28" s="99">
        <v>32.838378048780399</v>
      </c>
      <c r="LT28" s="99">
        <v>32.911817073170702</v>
      </c>
      <c r="LU28" s="99">
        <v>32.985256097560899</v>
      </c>
      <c r="LV28" s="99">
        <v>33.058695121951203</v>
      </c>
      <c r="LW28" s="99">
        <v>33.1321341463414</v>
      </c>
      <c r="LX28" s="99">
        <v>33.205573170731697</v>
      </c>
      <c r="LY28" s="99">
        <v>33.279012195121901</v>
      </c>
      <c r="LZ28" s="99">
        <v>33.352451219512197</v>
      </c>
      <c r="MA28" s="99">
        <v>33.425890243902401</v>
      </c>
      <c r="MB28" s="99">
        <v>33.499329268292598</v>
      </c>
      <c r="MC28" s="99">
        <v>33.572768292682902</v>
      </c>
      <c r="MD28" s="99">
        <v>33.646207317073099</v>
      </c>
      <c r="ME28" s="99">
        <v>33.719646341463402</v>
      </c>
      <c r="MF28" s="99">
        <v>33.793085365853599</v>
      </c>
      <c r="MG28" s="99">
        <v>33.866524390243903</v>
      </c>
      <c r="MH28" s="99">
        <v>33.9399634146341</v>
      </c>
      <c r="MI28" s="99">
        <v>34.013402439024297</v>
      </c>
      <c r="MJ28" s="99">
        <v>34.086841463414601</v>
      </c>
      <c r="MK28" s="99">
        <v>34.160280487804798</v>
      </c>
      <c r="ML28" s="99">
        <v>34.233719512195101</v>
      </c>
      <c r="MM28" s="99">
        <v>34.307158536585298</v>
      </c>
      <c r="MN28" s="99">
        <v>34.380597560975602</v>
      </c>
      <c r="MO28" s="99">
        <v>34.454036585365799</v>
      </c>
      <c r="MP28" s="99">
        <v>34.527475609756102</v>
      </c>
      <c r="MQ28" s="99">
        <v>34.600914634146299</v>
      </c>
      <c r="MR28" s="99">
        <v>34.674353658536504</v>
      </c>
      <c r="MS28" s="99">
        <v>34.7477926829268</v>
      </c>
      <c r="MT28" s="99">
        <v>34.821231707316997</v>
      </c>
      <c r="MU28" s="99">
        <v>34.894670731707301</v>
      </c>
      <c r="MV28" s="99">
        <v>34.968109756097498</v>
      </c>
      <c r="MW28" s="99">
        <v>35.041548780487801</v>
      </c>
      <c r="MX28" s="99">
        <v>35.114987804877998</v>
      </c>
      <c r="MY28" s="99">
        <v>35.188426829268302</v>
      </c>
      <c r="MZ28" s="99">
        <v>35.261865853658499</v>
      </c>
      <c r="NA28" s="99">
        <v>35.335304878048703</v>
      </c>
      <c r="NB28" s="99">
        <v>35.408743902438999</v>
      </c>
      <c r="NC28" s="99">
        <v>35.482182926829203</v>
      </c>
      <c r="ND28" s="99">
        <v>35.5556219512195</v>
      </c>
      <c r="NE28" s="99">
        <v>35.629060975609697</v>
      </c>
      <c r="NF28" s="99">
        <v>35.702500000000001</v>
      </c>
      <c r="NG28" s="99">
        <v>35.775939024390198</v>
      </c>
      <c r="NH28" s="99">
        <v>35.849378048780402</v>
      </c>
      <c r="NI28" s="99">
        <v>35.922817073170698</v>
      </c>
      <c r="NJ28" s="99">
        <v>35.996256097560902</v>
      </c>
      <c r="NK28" s="99">
        <v>36.069695121951199</v>
      </c>
      <c r="NL28" s="99">
        <v>36.143134146341403</v>
      </c>
      <c r="NM28" s="99">
        <v>36.216573170731699</v>
      </c>
      <c r="NN28" s="99">
        <v>36.290012195121903</v>
      </c>
      <c r="NO28" s="99">
        <v>36.3634512195122</v>
      </c>
      <c r="NP28" s="99">
        <v>36.436890243902397</v>
      </c>
      <c r="NQ28" s="99">
        <v>36.510329268292601</v>
      </c>
      <c r="NR28" s="99">
        <v>36.583768292682898</v>
      </c>
      <c r="NS28" s="99">
        <v>36.657207317073102</v>
      </c>
      <c r="NT28" s="99">
        <v>36.730646341463398</v>
      </c>
      <c r="NU28" s="99">
        <v>36.804085365853602</v>
      </c>
      <c r="NV28" s="99">
        <v>36.877524390243899</v>
      </c>
      <c r="NW28" s="99">
        <v>36.950963414634103</v>
      </c>
      <c r="NX28" s="99">
        <v>37.0244024390243</v>
      </c>
      <c r="NY28" s="99">
        <v>37.097841463414603</v>
      </c>
      <c r="NZ28" s="99">
        <v>37.1712804878048</v>
      </c>
      <c r="OA28" s="99">
        <v>37.244719512195097</v>
      </c>
      <c r="OB28" s="99">
        <v>37.318158536585301</v>
      </c>
      <c r="OC28" s="99">
        <v>37.391597560975598</v>
      </c>
      <c r="OD28" s="99">
        <v>37.465036585365802</v>
      </c>
      <c r="OE28" s="99">
        <v>37.538475609756098</v>
      </c>
      <c r="OF28" s="99">
        <v>37.611914634146302</v>
      </c>
      <c r="OG28" s="99">
        <v>37.685353658536499</v>
      </c>
      <c r="OH28" s="99">
        <v>37.758792682926803</v>
      </c>
      <c r="OI28" s="99">
        <v>37.832231707317</v>
      </c>
      <c r="OJ28" s="99">
        <v>37.905670731707303</v>
      </c>
      <c r="OK28" s="99">
        <v>37.9791097560975</v>
      </c>
      <c r="OL28" s="99">
        <v>38.052548780487797</v>
      </c>
      <c r="OM28" s="99">
        <v>38.125987804878001</v>
      </c>
      <c r="ON28" s="99">
        <v>38.199426829268297</v>
      </c>
      <c r="OO28" s="99">
        <v>38.272865853658502</v>
      </c>
      <c r="OP28" s="99">
        <v>38.346304878048699</v>
      </c>
      <c r="OQ28" s="99">
        <v>38.419743902439002</v>
      </c>
      <c r="OR28" s="99">
        <v>38.493182926829199</v>
      </c>
      <c r="OS28" s="99">
        <v>38.566621951219503</v>
      </c>
      <c r="OT28" s="99">
        <v>38.6400609756097</v>
      </c>
      <c r="OU28" s="99">
        <v>38.713500000000003</v>
      </c>
      <c r="OV28" s="99">
        <v>38.7869390243902</v>
      </c>
      <c r="OW28" s="99">
        <v>38.860378048780397</v>
      </c>
      <c r="OX28" s="99">
        <v>38.933817073170701</v>
      </c>
      <c r="OY28" s="99">
        <v>39.007256097560898</v>
      </c>
      <c r="OZ28" s="99">
        <v>39.080695121951202</v>
      </c>
      <c r="PA28" s="99">
        <v>39.154134146341399</v>
      </c>
      <c r="PB28" s="99">
        <v>39.227573170731702</v>
      </c>
      <c r="PC28" s="99">
        <v>39.301012195121899</v>
      </c>
      <c r="PD28" s="99">
        <v>39.374451219512203</v>
      </c>
      <c r="PE28" s="99">
        <v>39.4478902439024</v>
      </c>
      <c r="PF28" s="99">
        <v>39.521329268292597</v>
      </c>
      <c r="PG28" s="99">
        <v>39.5947682926829</v>
      </c>
      <c r="PH28" s="99">
        <v>39.668207317073097</v>
      </c>
      <c r="PI28" s="99">
        <v>39.741646341463401</v>
      </c>
      <c r="PJ28" s="99">
        <v>39.815085365853598</v>
      </c>
      <c r="PK28" s="99">
        <v>39.888524390243902</v>
      </c>
      <c r="PL28" s="99">
        <v>39.961963414634099</v>
      </c>
      <c r="PM28" s="99">
        <v>40.035402439024402</v>
      </c>
      <c r="PN28" s="99">
        <v>40.108841463414599</v>
      </c>
      <c r="PO28" s="99">
        <v>40.182280487804803</v>
      </c>
      <c r="PP28" s="99">
        <v>40.2557195121951</v>
      </c>
      <c r="PQ28" s="99">
        <v>40.329158536585297</v>
      </c>
      <c r="PR28" s="99">
        <v>40.4025975609756</v>
      </c>
      <c r="PS28" s="99">
        <v>40.476036585365797</v>
      </c>
      <c r="PT28" s="99">
        <v>40.549475609756101</v>
      </c>
      <c r="PU28" s="99">
        <v>40.622914634146298</v>
      </c>
      <c r="PV28" s="99">
        <v>40.696353658536502</v>
      </c>
      <c r="PW28" s="99">
        <v>40.769792682926798</v>
      </c>
      <c r="PX28" s="99">
        <v>40.843231707317003</v>
      </c>
      <c r="PY28" s="99">
        <v>40.916670731707299</v>
      </c>
      <c r="PZ28" s="99">
        <v>40.990109756097503</v>
      </c>
      <c r="QA28" s="99">
        <v>41.0635487804878</v>
      </c>
      <c r="QB28" s="99">
        <v>41.136987804877997</v>
      </c>
      <c r="QC28" s="99">
        <v>41.210426829268201</v>
      </c>
      <c r="QD28" s="99">
        <v>41.283865853658497</v>
      </c>
      <c r="QE28" s="99">
        <v>41.357304878048701</v>
      </c>
      <c r="QF28" s="99">
        <v>41.430743902438998</v>
      </c>
      <c r="QG28" s="99">
        <v>41.504182926829202</v>
      </c>
      <c r="QH28" s="99">
        <v>41.577621951219498</v>
      </c>
      <c r="QI28" s="99">
        <v>41.651060975609703</v>
      </c>
      <c r="QJ28" s="99">
        <v>41.724499999999999</v>
      </c>
      <c r="QK28" s="99">
        <v>41.797939024390203</v>
      </c>
      <c r="QL28" s="99">
        <v>41.8713780487804</v>
      </c>
      <c r="QM28" s="99">
        <v>41.944817073170697</v>
      </c>
      <c r="QN28" s="99">
        <v>42.018256097560901</v>
      </c>
      <c r="QO28" s="99">
        <v>42.091695121951197</v>
      </c>
      <c r="QP28" s="99">
        <v>42.165134146341401</v>
      </c>
      <c r="QQ28" s="99">
        <v>42.238573170731698</v>
      </c>
      <c r="QR28" s="99">
        <v>42.312012195121902</v>
      </c>
      <c r="QS28" s="99">
        <v>42.385451219512198</v>
      </c>
      <c r="QT28" s="99">
        <v>42.458890243902403</v>
      </c>
      <c r="QU28" s="99">
        <v>42.5323292682926</v>
      </c>
      <c r="QV28" s="99">
        <v>42.605768292682903</v>
      </c>
      <c r="QW28" s="99">
        <v>42.6792073170731</v>
      </c>
      <c r="QX28" s="99">
        <v>42.752646341463397</v>
      </c>
      <c r="QY28" s="99">
        <v>42.826085365853601</v>
      </c>
      <c r="QZ28" s="99">
        <v>42.899524390243897</v>
      </c>
      <c r="RA28" s="99">
        <v>42.972963414634101</v>
      </c>
      <c r="RB28" s="99">
        <v>43.046402439024398</v>
      </c>
      <c r="RC28" s="99">
        <v>43.119841463414602</v>
      </c>
      <c r="RD28" s="99">
        <v>43.193280487804799</v>
      </c>
      <c r="RE28" s="99">
        <v>43.266719512195102</v>
      </c>
      <c r="RF28" s="99">
        <v>43.340158536585299</v>
      </c>
      <c r="RG28" s="99">
        <v>43.413597560975603</v>
      </c>
      <c r="RH28" s="99">
        <v>43.4870365853658</v>
      </c>
      <c r="RI28" s="99">
        <v>43.560475609756097</v>
      </c>
      <c r="RJ28" s="99">
        <v>43.633914634146301</v>
      </c>
      <c r="RK28" s="99">
        <v>43.707353658536498</v>
      </c>
      <c r="RL28" s="99">
        <v>43.780792682926801</v>
      </c>
      <c r="RM28" s="99">
        <v>43.854231707316998</v>
      </c>
      <c r="RN28" s="99">
        <v>43.927670731707302</v>
      </c>
      <c r="RO28" s="99">
        <v>44.001109756097499</v>
      </c>
      <c r="RP28" s="99">
        <v>44.074548780487802</v>
      </c>
      <c r="RQ28" s="99">
        <v>44.147987804877999</v>
      </c>
      <c r="RR28" s="99">
        <v>44.221426829268303</v>
      </c>
      <c r="RS28" s="99">
        <v>44.2948658536585</v>
      </c>
      <c r="RT28" s="99">
        <v>44.368304878048697</v>
      </c>
      <c r="RU28" s="99">
        <v>44.441743902439001</v>
      </c>
      <c r="RV28" s="99">
        <v>44.515182926829198</v>
      </c>
      <c r="RW28" s="99">
        <v>44.588621951219501</v>
      </c>
      <c r="RX28" s="99">
        <v>44.662060975609698</v>
      </c>
      <c r="RY28" s="99">
        <v>44.735500000000002</v>
      </c>
      <c r="RZ28" s="99">
        <v>44.808939024390199</v>
      </c>
      <c r="SA28" s="99">
        <v>44.882378048780502</v>
      </c>
      <c r="SB28" s="99">
        <v>44.955817073170699</v>
      </c>
      <c r="SC28" s="99">
        <v>45.029256097560904</v>
      </c>
      <c r="SD28" s="99">
        <v>45.1026951219512</v>
      </c>
      <c r="SE28" s="99">
        <v>45.176134146341397</v>
      </c>
      <c r="SF28" s="99">
        <v>45.249573170731701</v>
      </c>
      <c r="SG28" s="99">
        <v>45.323012195121898</v>
      </c>
      <c r="SH28" s="99">
        <v>45.396451219512201</v>
      </c>
      <c r="SI28" s="99">
        <v>45.469890243902398</v>
      </c>
      <c r="SJ28" s="99">
        <v>45.543329268292602</v>
      </c>
      <c r="SK28" s="99">
        <v>45.616768292682899</v>
      </c>
      <c r="SL28" s="99">
        <v>45.690207317073103</v>
      </c>
      <c r="SM28" s="99">
        <v>45.763646341463399</v>
      </c>
      <c r="SN28" s="99">
        <v>45.837085365853603</v>
      </c>
      <c r="SO28" s="99">
        <v>45.9105243902439</v>
      </c>
      <c r="SP28" s="99">
        <v>45.983963414634097</v>
      </c>
      <c r="SQ28" s="99">
        <v>46.057402439024301</v>
      </c>
      <c r="SR28" s="99">
        <v>46.130841463414598</v>
      </c>
      <c r="SS28" s="99">
        <v>46.204280487804802</v>
      </c>
      <c r="ST28" s="99">
        <v>46.277719512195098</v>
      </c>
      <c r="SU28" s="99">
        <v>46.351158536585302</v>
      </c>
      <c r="SV28" s="99">
        <v>46.424597560975599</v>
      </c>
      <c r="SW28" s="99">
        <v>46.498036585365803</v>
      </c>
      <c r="SX28" s="99">
        <v>46.571475609756099</v>
      </c>
      <c r="SY28" s="99">
        <v>46.644914634146303</v>
      </c>
      <c r="SZ28" s="99">
        <v>46.7183536585365</v>
      </c>
      <c r="TA28" s="99">
        <v>46.791792682926797</v>
      </c>
      <c r="TB28" s="99">
        <v>46.865231707317001</v>
      </c>
      <c r="TC28" s="99">
        <v>46.938670731707298</v>
      </c>
      <c r="TD28" s="99">
        <v>47.012109756097502</v>
      </c>
      <c r="TE28" s="99">
        <v>47.085548780487798</v>
      </c>
      <c r="TF28" s="99">
        <v>47.158987804878002</v>
      </c>
      <c r="TG28" s="99">
        <v>47.232426829268299</v>
      </c>
      <c r="TH28" s="99">
        <v>47.305865853658503</v>
      </c>
      <c r="TI28" s="99">
        <v>47.3793048780487</v>
      </c>
      <c r="TJ28" s="99">
        <v>47.452743902439003</v>
      </c>
      <c r="TK28" s="99">
        <v>47.5261829268292</v>
      </c>
      <c r="TL28" s="99">
        <v>47.599621951219497</v>
      </c>
      <c r="TM28" s="99">
        <v>47.673060975609701</v>
      </c>
      <c r="TN28" s="99">
        <v>47.746499999999997</v>
      </c>
      <c r="TO28" s="99">
        <v>47.819939024390202</v>
      </c>
      <c r="TP28" s="99">
        <v>47.893378048780399</v>
      </c>
      <c r="TQ28" s="99">
        <v>47.966817073170702</v>
      </c>
      <c r="TR28" s="99">
        <v>48.040256097560899</v>
      </c>
      <c r="TS28" s="99">
        <v>48.113695121951203</v>
      </c>
      <c r="TT28" s="99">
        <v>48.1871341463414</v>
      </c>
      <c r="TU28" s="99">
        <v>48.260573170731703</v>
      </c>
      <c r="TV28" s="99">
        <v>48.3340121951219</v>
      </c>
      <c r="TW28" s="99">
        <v>48.407451219512197</v>
      </c>
      <c r="TX28" s="99">
        <v>48.480890243902401</v>
      </c>
      <c r="TY28" s="99">
        <v>48.554329268292598</v>
      </c>
      <c r="TZ28" s="99">
        <v>48.627768292682902</v>
      </c>
      <c r="UA28" s="99">
        <v>48.701207317073099</v>
      </c>
      <c r="UB28" s="99">
        <v>48.774646341463402</v>
      </c>
      <c r="UC28" s="99">
        <v>48.848085365853599</v>
      </c>
      <c r="UD28" s="99">
        <v>48.921524390243903</v>
      </c>
      <c r="UE28" s="99">
        <v>48.9949634146341</v>
      </c>
      <c r="UF28" s="99">
        <v>49.068402439024403</v>
      </c>
      <c r="UG28" s="99">
        <v>49.1418414634146</v>
      </c>
      <c r="UH28" s="99">
        <v>49.215280487804797</v>
      </c>
      <c r="UI28" s="99">
        <v>49.288719512195101</v>
      </c>
      <c r="UJ28" s="99">
        <v>49.362158536585298</v>
      </c>
      <c r="UK28" s="99">
        <v>49.435597560975602</v>
      </c>
      <c r="UL28" s="99">
        <v>49.509036585365799</v>
      </c>
      <c r="UM28" s="99">
        <v>49.582475609756102</v>
      </c>
      <c r="UN28" s="99">
        <v>49.655914634146299</v>
      </c>
      <c r="UO28" s="99">
        <v>49.729353658536503</v>
      </c>
      <c r="UP28" s="99">
        <v>49.8027926829268</v>
      </c>
      <c r="UQ28" s="99">
        <v>49.876231707316997</v>
      </c>
      <c r="UR28" s="99">
        <v>49.9496707317073</v>
      </c>
      <c r="US28" s="99">
        <v>50.023109756097497</v>
      </c>
      <c r="UT28" s="99">
        <v>50.096548780487801</v>
      </c>
    </row>
    <row r="29" spans="1:566" x14ac:dyDescent="0.2">
      <c r="A29" s="89">
        <v>11.5</v>
      </c>
      <c r="B29" s="90">
        <v>8.58</v>
      </c>
      <c r="C29" s="90">
        <v>8.65</v>
      </c>
      <c r="D29" s="90">
        <v>8.7200000000000006</v>
      </c>
      <c r="E29" s="90">
        <v>8.7899999999999991</v>
      </c>
      <c r="F29" s="90">
        <v>8.8699999999999992</v>
      </c>
      <c r="G29" s="90">
        <v>8.94</v>
      </c>
      <c r="H29" s="90">
        <v>9.01</v>
      </c>
      <c r="I29" s="90">
        <v>9.08</v>
      </c>
      <c r="J29" s="90">
        <v>9.16</v>
      </c>
      <c r="K29" s="90">
        <v>9.23</v>
      </c>
      <c r="L29" s="90">
        <v>9.3000000000000007</v>
      </c>
      <c r="M29" s="90">
        <v>9.3800000000000008</v>
      </c>
      <c r="N29" s="90">
        <v>9.4499999999999993</v>
      </c>
      <c r="O29" s="90">
        <v>9.52</v>
      </c>
      <c r="P29" s="90">
        <v>9.59</v>
      </c>
      <c r="Q29" s="90">
        <v>9.67</v>
      </c>
      <c r="R29" s="90">
        <v>9.74</v>
      </c>
      <c r="S29" s="90">
        <v>9.81</v>
      </c>
      <c r="T29" s="90">
        <v>9.8800000000000008</v>
      </c>
      <c r="U29" s="91">
        <v>9.9600000000000009</v>
      </c>
      <c r="V29" s="90">
        <v>10.029999999999999</v>
      </c>
      <c r="W29" s="90">
        <v>10.1</v>
      </c>
      <c r="X29" s="90">
        <v>10.17</v>
      </c>
      <c r="Y29" s="90">
        <v>10.25</v>
      </c>
      <c r="Z29" s="90">
        <v>10.32</v>
      </c>
      <c r="AA29" s="90">
        <v>10.39</v>
      </c>
      <c r="AB29" s="90">
        <v>10.47</v>
      </c>
      <c r="AC29" s="90">
        <v>10.54</v>
      </c>
      <c r="AD29" s="90">
        <v>10.61</v>
      </c>
      <c r="AE29" s="90">
        <v>10.68</v>
      </c>
      <c r="AF29" s="90">
        <v>10.76</v>
      </c>
      <c r="AG29" s="90">
        <v>10.83</v>
      </c>
      <c r="AH29" s="90">
        <v>10.9</v>
      </c>
      <c r="AI29" s="90">
        <v>10.97</v>
      </c>
      <c r="AJ29" s="90">
        <v>11.05</v>
      </c>
      <c r="AK29" s="90">
        <v>11.12</v>
      </c>
      <c r="AL29" s="90">
        <v>11.19</v>
      </c>
      <c r="AM29" s="90">
        <v>11.26</v>
      </c>
      <c r="AN29" s="90">
        <v>11.34</v>
      </c>
      <c r="AO29" s="91">
        <v>11.41</v>
      </c>
      <c r="AP29" s="90">
        <v>11.4823846153846</v>
      </c>
      <c r="AQ29" s="90">
        <v>11.555037523452199</v>
      </c>
      <c r="AR29" s="90">
        <v>11.627690431519699</v>
      </c>
      <c r="AS29" s="90">
        <v>11.700343339587199</v>
      </c>
      <c r="AT29" s="90">
        <v>11.772996247654801</v>
      </c>
      <c r="AU29" s="90">
        <v>11.845649155722301</v>
      </c>
      <c r="AV29" s="90">
        <v>11.9183020637899</v>
      </c>
      <c r="AW29" s="90">
        <v>11.9909549718574</v>
      </c>
      <c r="AX29" s="90">
        <v>12.063607879925</v>
      </c>
      <c r="AY29" s="90">
        <v>12.1362607879925</v>
      </c>
      <c r="AZ29" s="90">
        <v>12.20891369606</v>
      </c>
      <c r="BA29" s="90">
        <v>12.281566604127599</v>
      </c>
      <c r="BB29" s="90">
        <v>12.354219512195099</v>
      </c>
      <c r="BC29" s="90">
        <v>12.426872420262701</v>
      </c>
      <c r="BD29" s="90">
        <v>12.499525328330201</v>
      </c>
      <c r="BE29" s="90">
        <v>12.572178236397701</v>
      </c>
      <c r="BF29" s="90">
        <v>12.6448311444653</v>
      </c>
      <c r="BG29" s="90">
        <v>12.7174840525328</v>
      </c>
      <c r="BH29" s="90">
        <v>12.7901369606004</v>
      </c>
      <c r="BI29" s="91">
        <v>12.8627898686679</v>
      </c>
      <c r="BJ29" s="90">
        <v>12.935442776735499</v>
      </c>
      <c r="BK29" s="99">
        <v>13.008095684802999</v>
      </c>
      <c r="BL29" s="99">
        <v>13.080748592870499</v>
      </c>
      <c r="BM29" s="99">
        <v>13.1534015009381</v>
      </c>
      <c r="BN29" s="99">
        <v>13.2260544090056</v>
      </c>
      <c r="BO29" s="99">
        <v>13.2987073170732</v>
      </c>
      <c r="BP29" s="99">
        <v>13.3713602251407</v>
      </c>
      <c r="BQ29" s="99">
        <v>13.444013133208299</v>
      </c>
      <c r="BR29" s="99">
        <v>13.5166660412758</v>
      </c>
      <c r="BS29" s="99">
        <v>13.5893189493433</v>
      </c>
      <c r="BT29" s="99">
        <v>13.661971857410901</v>
      </c>
      <c r="BU29" s="99">
        <v>13.734624765478401</v>
      </c>
      <c r="BV29" s="99">
        <v>13.807277673546</v>
      </c>
      <c r="BW29" s="99">
        <v>13.8799305816135</v>
      </c>
      <c r="BX29" s="99">
        <v>13.952583489681</v>
      </c>
      <c r="BY29" s="99">
        <v>14.0252363977486</v>
      </c>
      <c r="BZ29" s="99">
        <v>14.0978893058161</v>
      </c>
      <c r="CA29" s="99">
        <v>14.170542213883699</v>
      </c>
      <c r="CB29" s="99">
        <v>14.243195121951199</v>
      </c>
      <c r="CC29" s="99">
        <v>14.315848030018801</v>
      </c>
      <c r="CD29" s="99">
        <v>14.388500938086301</v>
      </c>
      <c r="CE29" s="99">
        <v>14.461153846153801</v>
      </c>
      <c r="CF29" s="99">
        <v>14.5338067542214</v>
      </c>
      <c r="CG29" s="99">
        <v>14.6064596622889</v>
      </c>
      <c r="CH29" s="99">
        <v>14.6791125703565</v>
      </c>
      <c r="CI29" s="99">
        <v>14.751765478424</v>
      </c>
      <c r="CJ29" s="99">
        <v>14.824418386491599</v>
      </c>
      <c r="CK29" s="99">
        <v>14.897071294559099</v>
      </c>
      <c r="CL29" s="99">
        <v>14.969724202626599</v>
      </c>
      <c r="CM29" s="99">
        <v>15.042377110694201</v>
      </c>
      <c r="CN29" s="99">
        <v>15.115030018761701</v>
      </c>
      <c r="CO29" s="99">
        <v>15.1876829268293</v>
      </c>
      <c r="CP29" s="99">
        <v>15.2603358348968</v>
      </c>
      <c r="CQ29" s="99">
        <v>15.3329887429644</v>
      </c>
      <c r="CR29" s="99">
        <v>15.4056416510319</v>
      </c>
      <c r="CS29" s="99">
        <v>15.4782945590994</v>
      </c>
      <c r="CT29" s="99">
        <v>15.550947467166999</v>
      </c>
      <c r="CU29" s="99">
        <v>15.623600375234499</v>
      </c>
      <c r="CV29" s="99">
        <v>15.6962532833021</v>
      </c>
      <c r="CW29" s="99">
        <v>15.7689061913696</v>
      </c>
      <c r="CX29" s="99">
        <v>15.8415590994371</v>
      </c>
      <c r="CY29" s="99">
        <v>15.9142120075047</v>
      </c>
      <c r="CZ29" s="99">
        <v>15.9868649155722</v>
      </c>
      <c r="DA29" s="99">
        <v>16.059517823639801</v>
      </c>
      <c r="DB29" s="99">
        <v>16.132170731707301</v>
      </c>
      <c r="DC29" s="99">
        <v>16.204823639774901</v>
      </c>
      <c r="DD29" s="99">
        <v>16.277476547842401</v>
      </c>
      <c r="DE29" s="99">
        <v>16.350129455909901</v>
      </c>
      <c r="DF29" s="99">
        <v>16.4227823639775</v>
      </c>
      <c r="DG29" s="99">
        <v>16.495435272045</v>
      </c>
      <c r="DH29" s="99">
        <v>16.5680881801126</v>
      </c>
      <c r="DI29" s="99">
        <v>16.6407410881801</v>
      </c>
      <c r="DJ29" s="99">
        <v>16.713393996247699</v>
      </c>
      <c r="DK29" s="99">
        <v>16.786046904315199</v>
      </c>
      <c r="DL29" s="99">
        <v>16.858699812382699</v>
      </c>
      <c r="DM29" s="99">
        <v>16.931352720450299</v>
      </c>
      <c r="DN29" s="99">
        <v>17.004005628517799</v>
      </c>
      <c r="DO29" s="99">
        <v>17.076658536585398</v>
      </c>
      <c r="DP29" s="99">
        <v>17.149311444652898</v>
      </c>
      <c r="DQ29" s="99">
        <v>17.221964352720398</v>
      </c>
      <c r="DR29" s="99">
        <v>17.294617260788002</v>
      </c>
      <c r="DS29" s="99">
        <v>17.367270168855502</v>
      </c>
      <c r="DT29" s="99">
        <v>17.439923076923101</v>
      </c>
      <c r="DU29" s="99">
        <v>17.512575984990601</v>
      </c>
      <c r="DV29" s="99">
        <v>17.585228893058201</v>
      </c>
      <c r="DW29" s="99">
        <v>17.657881801125701</v>
      </c>
      <c r="DX29" s="99">
        <v>17.730534709193201</v>
      </c>
      <c r="DY29" s="99">
        <v>17.8031876172608</v>
      </c>
      <c r="DZ29" s="99">
        <v>17.8758405253283</v>
      </c>
      <c r="EA29" s="99">
        <v>17.9484934333959</v>
      </c>
      <c r="EB29" s="99">
        <v>18.0211463414634</v>
      </c>
      <c r="EC29" s="99">
        <v>18.093799249530999</v>
      </c>
      <c r="ED29" s="99">
        <v>18.166452157598499</v>
      </c>
      <c r="EE29" s="99">
        <v>18.239105065665999</v>
      </c>
      <c r="EF29" s="99">
        <v>18.311757973733599</v>
      </c>
      <c r="EG29" s="99">
        <v>18.384410881801099</v>
      </c>
      <c r="EH29" s="99">
        <v>18.457063789868702</v>
      </c>
      <c r="EI29" s="99">
        <v>18.529716697936198</v>
      </c>
      <c r="EJ29" s="99">
        <v>18.602369606003698</v>
      </c>
      <c r="EK29" s="99">
        <v>18.675022514071301</v>
      </c>
      <c r="EL29" s="99">
        <v>18.747675422138801</v>
      </c>
      <c r="EM29" s="99">
        <v>18.820328330206401</v>
      </c>
      <c r="EN29" s="99">
        <v>18.892981238273901</v>
      </c>
      <c r="EO29" s="99">
        <v>18.965634146341401</v>
      </c>
      <c r="EP29" s="99">
        <v>19.038287054409</v>
      </c>
      <c r="EQ29" s="99">
        <v>19.1109399624765</v>
      </c>
      <c r="ER29" s="99">
        <v>19.1835928705441</v>
      </c>
      <c r="ES29" s="99">
        <v>19.2562457786116</v>
      </c>
      <c r="ET29" s="99">
        <v>19.3288986866791</v>
      </c>
      <c r="EU29" s="99">
        <v>19.401551594746699</v>
      </c>
      <c r="EV29" s="99">
        <v>19.474204502814199</v>
      </c>
      <c r="EW29" s="99">
        <v>19.546857410881799</v>
      </c>
      <c r="EX29" s="99">
        <v>19.619510318949299</v>
      </c>
      <c r="EY29" s="99">
        <v>19.692163227016898</v>
      </c>
      <c r="EZ29" s="99">
        <v>19.764816135084398</v>
      </c>
      <c r="FA29" s="99">
        <v>19.837469043151899</v>
      </c>
      <c r="FB29" s="99">
        <v>19.910121951219502</v>
      </c>
      <c r="FC29" s="99">
        <v>19.982774859287002</v>
      </c>
      <c r="FD29" s="99">
        <v>20.055427767354601</v>
      </c>
      <c r="FE29" s="99">
        <v>20.128080675422101</v>
      </c>
      <c r="FF29" s="99">
        <v>20.200733583489701</v>
      </c>
      <c r="FG29" s="99">
        <v>20.273386491557201</v>
      </c>
      <c r="FH29" s="99">
        <v>20.346039399624701</v>
      </c>
      <c r="FI29" s="99">
        <v>20.4186923076923</v>
      </c>
      <c r="FJ29" s="99">
        <v>20.4913452157598</v>
      </c>
      <c r="FK29" s="99">
        <v>20.5639981238274</v>
      </c>
      <c r="FL29" s="99">
        <v>20.6366510318949</v>
      </c>
      <c r="FM29" s="99">
        <v>20.7093039399624</v>
      </c>
      <c r="FN29" s="99">
        <v>20.781956848029999</v>
      </c>
      <c r="FO29" s="99">
        <v>20.854609756097499</v>
      </c>
      <c r="FP29" s="99">
        <v>20.927262664165099</v>
      </c>
      <c r="FQ29" s="99">
        <v>20.999915572232599</v>
      </c>
      <c r="FR29" s="99">
        <v>21.072568480300198</v>
      </c>
      <c r="FS29" s="99">
        <v>21.145221388367698</v>
      </c>
      <c r="FT29" s="99">
        <v>21.217874296435198</v>
      </c>
      <c r="FU29" s="99">
        <v>21.290527204502801</v>
      </c>
      <c r="FV29" s="99">
        <v>21.363180112570301</v>
      </c>
      <c r="FW29" s="99">
        <v>21.435833020637901</v>
      </c>
      <c r="FX29" s="99">
        <v>21.508485928705401</v>
      </c>
      <c r="FY29" s="99">
        <v>21.581138836773</v>
      </c>
      <c r="FZ29" s="99">
        <v>21.6537917448405</v>
      </c>
      <c r="GA29" s="99">
        <v>21.726444652908</v>
      </c>
      <c r="GB29" s="99">
        <v>21.7990975609756</v>
      </c>
      <c r="GC29" s="99">
        <v>21.8717504690431</v>
      </c>
      <c r="GD29" s="99">
        <v>21.944403377110699</v>
      </c>
      <c r="GE29" s="99">
        <v>22.017056285178199</v>
      </c>
      <c r="GF29" s="99">
        <v>22.089709193245799</v>
      </c>
      <c r="GG29" s="99">
        <v>22.162362101313299</v>
      </c>
      <c r="GH29" s="99">
        <v>22.235015009380799</v>
      </c>
      <c r="GI29" s="99">
        <v>22.307667917448398</v>
      </c>
      <c r="GJ29" s="99">
        <v>22.380320825515899</v>
      </c>
      <c r="GK29" s="99">
        <v>22.452973733583502</v>
      </c>
      <c r="GL29" s="99">
        <v>22.525626641651002</v>
      </c>
      <c r="GM29" s="99">
        <v>22.598279549718502</v>
      </c>
      <c r="GN29" s="99">
        <v>22.670932457786101</v>
      </c>
      <c r="GO29" s="99">
        <v>22.743585365853601</v>
      </c>
      <c r="GP29" s="99">
        <v>22.816238273921201</v>
      </c>
      <c r="GQ29" s="99">
        <v>22.888891181988701</v>
      </c>
      <c r="GR29" s="99">
        <v>22.9615440900563</v>
      </c>
      <c r="GS29" s="99">
        <v>23.0341969981238</v>
      </c>
      <c r="GT29" s="99">
        <v>23.1068499061913</v>
      </c>
      <c r="GU29" s="99">
        <v>23.1795028142589</v>
      </c>
      <c r="GV29" s="99">
        <v>23.2521557223264</v>
      </c>
      <c r="GW29" s="99">
        <v>23.324808630393999</v>
      </c>
      <c r="GX29" s="99">
        <v>23.397461538461499</v>
      </c>
      <c r="GY29" s="99">
        <v>23.470114446529099</v>
      </c>
      <c r="GZ29" s="99">
        <v>23.542767354596599</v>
      </c>
      <c r="HA29" s="99">
        <v>23.615420262664099</v>
      </c>
      <c r="HB29" s="99">
        <v>23.688073170731698</v>
      </c>
      <c r="HC29" s="99">
        <v>23.760726078799198</v>
      </c>
      <c r="HD29" s="99">
        <v>23.833378986866801</v>
      </c>
      <c r="HE29" s="99">
        <v>23.906031894934301</v>
      </c>
      <c r="HF29" s="99">
        <v>23.978684803001801</v>
      </c>
      <c r="HG29" s="99">
        <v>24.051337711069401</v>
      </c>
      <c r="HH29" s="99">
        <v>24.123990619136901</v>
      </c>
      <c r="HI29" s="99">
        <v>24.1966435272045</v>
      </c>
      <c r="HJ29" s="99">
        <v>24.269296435272</v>
      </c>
      <c r="HK29" s="99">
        <v>24.3419493433396</v>
      </c>
      <c r="HL29" s="99">
        <v>24.4146022514071</v>
      </c>
      <c r="HM29" s="99">
        <v>24.4872551594746</v>
      </c>
      <c r="HN29" s="99">
        <v>24.559908067542199</v>
      </c>
      <c r="HO29" s="99">
        <v>24.632560975609699</v>
      </c>
      <c r="HP29" s="99">
        <v>24.705213883677299</v>
      </c>
      <c r="HQ29" s="99">
        <v>24.777866791744799</v>
      </c>
      <c r="HR29" s="99">
        <v>24.850519699812398</v>
      </c>
      <c r="HS29" s="99">
        <v>24.923172607879899</v>
      </c>
      <c r="HT29" s="99">
        <v>24.995825515947399</v>
      </c>
      <c r="HU29" s="99">
        <v>25.068478424015002</v>
      </c>
      <c r="HV29" s="99">
        <v>25.141131332082502</v>
      </c>
      <c r="HW29" s="99">
        <v>25.213784240150101</v>
      </c>
      <c r="HX29" s="99">
        <v>25.286437148217601</v>
      </c>
      <c r="HY29" s="99">
        <v>25.359090056285201</v>
      </c>
      <c r="HZ29" s="99">
        <v>25.431742964352701</v>
      </c>
      <c r="IA29" s="99">
        <v>25.504395872420201</v>
      </c>
      <c r="IB29" s="99">
        <v>25.5770487804878</v>
      </c>
      <c r="IC29" s="99">
        <v>25.6497016885553</v>
      </c>
      <c r="ID29" s="99">
        <v>25.7223545966229</v>
      </c>
      <c r="IE29" s="99">
        <v>25.7950075046904</v>
      </c>
      <c r="IF29" s="99">
        <v>25.8676604127579</v>
      </c>
      <c r="IG29" s="99">
        <v>25.940313320825499</v>
      </c>
      <c r="IH29" s="99">
        <v>26.012966228892999</v>
      </c>
      <c r="II29" s="99">
        <v>26.085619136960599</v>
      </c>
      <c r="IJ29" s="99">
        <v>26.158272045028099</v>
      </c>
      <c r="IK29" s="99">
        <v>26.230924953095698</v>
      </c>
      <c r="IL29" s="99">
        <v>26.303577861163198</v>
      </c>
      <c r="IM29" s="99">
        <v>26.376230769230698</v>
      </c>
      <c r="IN29" s="99">
        <v>26.448883677298301</v>
      </c>
      <c r="IO29" s="99">
        <v>26.521536585365801</v>
      </c>
      <c r="IP29" s="99">
        <v>26.594189493433401</v>
      </c>
      <c r="IQ29" s="99">
        <v>26.666842401500901</v>
      </c>
      <c r="IR29" s="99">
        <v>26.7394953095685</v>
      </c>
      <c r="IS29" s="99">
        <v>26.812148217636</v>
      </c>
      <c r="IT29" s="99">
        <v>26.8848011257035</v>
      </c>
      <c r="IU29" s="99">
        <v>26.9574540337711</v>
      </c>
      <c r="IV29" s="99">
        <v>27.0301069418386</v>
      </c>
      <c r="IW29" s="99">
        <v>27.102759849906199</v>
      </c>
      <c r="IX29" s="99">
        <v>27.175412757973699</v>
      </c>
      <c r="IY29" s="99">
        <v>27.2480656660412</v>
      </c>
      <c r="IZ29" s="99">
        <v>27.320718574108799</v>
      </c>
      <c r="JA29" s="99">
        <v>27.393371482176299</v>
      </c>
      <c r="JB29" s="99">
        <v>27.466024390243899</v>
      </c>
      <c r="JC29" s="99">
        <v>27.538677298311399</v>
      </c>
      <c r="JD29" s="99">
        <v>27.611330206379002</v>
      </c>
      <c r="JE29" s="99">
        <v>27.683983114446502</v>
      </c>
      <c r="JF29" s="99">
        <v>27.756636022514002</v>
      </c>
      <c r="JG29" s="99">
        <v>27.829288930581601</v>
      </c>
      <c r="JH29" s="99">
        <v>27.901941838649101</v>
      </c>
      <c r="JI29" s="99">
        <v>27.974594746716701</v>
      </c>
      <c r="JJ29" s="99">
        <v>28.047247654784201</v>
      </c>
      <c r="JK29" s="99">
        <v>28.1199005628518</v>
      </c>
      <c r="JL29" s="99">
        <v>28.1925534709193</v>
      </c>
      <c r="JM29" s="99">
        <v>28.2652063789868</v>
      </c>
      <c r="JN29" s="99">
        <v>28.3378592870544</v>
      </c>
      <c r="JO29" s="99">
        <v>28.4105121951219</v>
      </c>
      <c r="JP29" s="99">
        <v>28.483165103189499</v>
      </c>
      <c r="JQ29" s="99">
        <v>28.555818011256999</v>
      </c>
      <c r="JR29" s="99">
        <v>28.628470919324599</v>
      </c>
      <c r="JS29" s="99">
        <v>28.701123827392099</v>
      </c>
      <c r="JT29" s="99">
        <v>28.773776735459599</v>
      </c>
      <c r="JU29" s="99">
        <v>28.846429643527198</v>
      </c>
      <c r="JV29" s="99">
        <v>28.919082551594698</v>
      </c>
      <c r="JW29" s="99">
        <v>28.991735459662301</v>
      </c>
      <c r="JX29" s="99">
        <v>29.064388367729801</v>
      </c>
      <c r="JY29" s="99">
        <v>29.137041275797301</v>
      </c>
      <c r="JZ29" s="99">
        <v>29.209694183864901</v>
      </c>
      <c r="KA29" s="99">
        <v>29.282347091932401</v>
      </c>
      <c r="KB29" s="99">
        <v>29.355</v>
      </c>
      <c r="KC29" s="99">
        <v>29.4276529080675</v>
      </c>
      <c r="KD29" s="99">
        <v>29.5003058161351</v>
      </c>
      <c r="KE29" s="99">
        <v>29.5729587242026</v>
      </c>
      <c r="KF29" s="99">
        <v>29.6456116322701</v>
      </c>
      <c r="KG29" s="99">
        <v>29.718264540337699</v>
      </c>
      <c r="KH29" s="99">
        <v>29.7909174484052</v>
      </c>
      <c r="KI29" s="99">
        <v>29.863570356472799</v>
      </c>
      <c r="KJ29" s="99">
        <v>29.936223264540299</v>
      </c>
      <c r="KK29" s="99">
        <v>30.008876172607899</v>
      </c>
      <c r="KL29" s="99">
        <v>30.081529080675399</v>
      </c>
      <c r="KM29" s="99">
        <v>30.154181988742899</v>
      </c>
      <c r="KN29" s="99">
        <v>30.226834896810502</v>
      </c>
      <c r="KO29" s="99">
        <v>30.299487804878002</v>
      </c>
      <c r="KP29" s="99">
        <v>30.372140712945601</v>
      </c>
      <c r="KQ29" s="99">
        <v>30.444793621013101</v>
      </c>
      <c r="KR29" s="99">
        <v>30.517446529080601</v>
      </c>
      <c r="KS29" s="99">
        <v>30.590099437148201</v>
      </c>
      <c r="KT29" s="99">
        <v>30.662752345215701</v>
      </c>
      <c r="KU29" s="99">
        <v>30.7354052532833</v>
      </c>
      <c r="KV29" s="99">
        <v>30.8080581613508</v>
      </c>
      <c r="KW29" s="99">
        <v>30.8807110694184</v>
      </c>
      <c r="KX29" s="99">
        <v>30.9533639774859</v>
      </c>
      <c r="KY29" s="99">
        <v>31.0260168855534</v>
      </c>
      <c r="KZ29" s="99">
        <v>31.098669793620999</v>
      </c>
      <c r="LA29" s="99">
        <v>31.171322701688499</v>
      </c>
      <c r="LB29" s="99">
        <v>31.243975609756099</v>
      </c>
      <c r="LC29" s="99">
        <v>31.316628517823599</v>
      </c>
      <c r="LD29" s="99">
        <v>31.389281425891198</v>
      </c>
      <c r="LE29" s="99">
        <v>31.461934333958698</v>
      </c>
      <c r="LF29" s="99">
        <v>31.534587242026198</v>
      </c>
      <c r="LG29" s="99">
        <v>31.607240150093801</v>
      </c>
      <c r="LH29" s="99">
        <v>31.679893058161301</v>
      </c>
      <c r="LI29" s="99">
        <v>31.752545966228901</v>
      </c>
      <c r="LJ29" s="99">
        <v>31.825198874296401</v>
      </c>
      <c r="LK29" s="99">
        <v>31.897851782363901</v>
      </c>
      <c r="LL29" s="99">
        <v>31.9705046904315</v>
      </c>
      <c r="LM29" s="99">
        <v>32.043157598499</v>
      </c>
      <c r="LN29" s="99">
        <v>32.115810506566604</v>
      </c>
      <c r="LO29" s="99">
        <v>32.1884634146341</v>
      </c>
      <c r="LP29" s="99">
        <v>32.261116322701703</v>
      </c>
      <c r="LQ29" s="99">
        <v>32.3337692307692</v>
      </c>
      <c r="LR29" s="99">
        <v>32.406422138836703</v>
      </c>
      <c r="LS29" s="99">
        <v>32.479075046904299</v>
      </c>
      <c r="LT29" s="99">
        <v>32.551727954971803</v>
      </c>
      <c r="LU29" s="99">
        <v>32.624380863039399</v>
      </c>
      <c r="LV29" s="99">
        <v>32.697033771106902</v>
      </c>
      <c r="LW29" s="99">
        <v>32.769686679174498</v>
      </c>
      <c r="LX29" s="99">
        <v>32.842339587242002</v>
      </c>
      <c r="LY29" s="99">
        <v>32.914992495309498</v>
      </c>
      <c r="LZ29" s="99">
        <v>32.987645403377101</v>
      </c>
      <c r="MA29" s="99">
        <v>33.060298311444598</v>
      </c>
      <c r="MB29" s="99">
        <v>33.132951219512201</v>
      </c>
      <c r="MC29" s="99">
        <v>33.205604127579697</v>
      </c>
      <c r="MD29" s="99">
        <v>33.2782570356473</v>
      </c>
      <c r="ME29" s="99">
        <v>33.350909943714797</v>
      </c>
      <c r="MF29" s="99">
        <v>33.4235628517823</v>
      </c>
      <c r="MG29" s="99">
        <v>33.496215759849903</v>
      </c>
      <c r="MH29" s="99">
        <v>33.5688686679174</v>
      </c>
      <c r="MI29" s="99">
        <v>33.641521575985003</v>
      </c>
      <c r="MJ29" s="99">
        <v>33.714174484052499</v>
      </c>
      <c r="MK29" s="99">
        <v>33.786827392120003</v>
      </c>
      <c r="ML29" s="99">
        <v>33.859480300187599</v>
      </c>
      <c r="MM29" s="99">
        <v>33.932133208255102</v>
      </c>
      <c r="MN29" s="99">
        <v>34.004786116322698</v>
      </c>
      <c r="MO29" s="99">
        <v>34.077439024390202</v>
      </c>
      <c r="MP29" s="99">
        <v>34.150091932457798</v>
      </c>
      <c r="MQ29" s="99">
        <v>34.222744840525301</v>
      </c>
      <c r="MR29" s="99">
        <v>34.295397748592798</v>
      </c>
      <c r="MS29" s="99">
        <v>34.368050656660401</v>
      </c>
      <c r="MT29" s="99">
        <v>34.440703564727897</v>
      </c>
      <c r="MU29" s="99">
        <v>34.5133564727955</v>
      </c>
      <c r="MV29" s="99">
        <v>34.586009380862997</v>
      </c>
      <c r="MW29" s="99">
        <v>34.6586622889306</v>
      </c>
      <c r="MX29" s="99">
        <v>34.731315196998104</v>
      </c>
      <c r="MY29" s="99">
        <v>34.8039681050656</v>
      </c>
      <c r="MZ29" s="99">
        <v>34.876621013133203</v>
      </c>
      <c r="NA29" s="99">
        <v>34.9492739212007</v>
      </c>
      <c r="NB29" s="99">
        <v>35.021926829268303</v>
      </c>
      <c r="NC29" s="99">
        <v>35.094579737335799</v>
      </c>
      <c r="ND29" s="99">
        <v>35.167232645403303</v>
      </c>
      <c r="NE29" s="99">
        <v>35.239885553470899</v>
      </c>
      <c r="NF29" s="99">
        <v>35.312538461538402</v>
      </c>
      <c r="NG29" s="99">
        <v>35.385191369605998</v>
      </c>
      <c r="NH29" s="99">
        <v>35.457844277673502</v>
      </c>
      <c r="NI29" s="99">
        <v>35.530497185741098</v>
      </c>
      <c r="NJ29" s="99">
        <v>35.603150093808601</v>
      </c>
      <c r="NK29" s="99">
        <v>35.675803001876098</v>
      </c>
      <c r="NL29" s="99">
        <v>35.748455909943701</v>
      </c>
      <c r="NM29" s="99">
        <v>35.821108818011197</v>
      </c>
      <c r="NN29" s="99">
        <v>35.8937617260788</v>
      </c>
      <c r="NO29" s="99">
        <v>35.966414634146297</v>
      </c>
      <c r="NP29" s="99">
        <v>36.0390675422139</v>
      </c>
      <c r="NQ29" s="99">
        <v>36.111720450281403</v>
      </c>
      <c r="NR29" s="99">
        <v>36.1843733583489</v>
      </c>
      <c r="NS29" s="99">
        <v>36.257026266416503</v>
      </c>
      <c r="NT29" s="99">
        <v>36.329679174483999</v>
      </c>
      <c r="NU29" s="99">
        <v>36.402332082551602</v>
      </c>
      <c r="NV29" s="99">
        <v>36.474984990619099</v>
      </c>
      <c r="NW29" s="99">
        <v>36.547637898686702</v>
      </c>
      <c r="NX29" s="99">
        <v>36.620290806754198</v>
      </c>
      <c r="NY29" s="99">
        <v>36.692943714821702</v>
      </c>
      <c r="NZ29" s="99">
        <v>36.765596622889298</v>
      </c>
      <c r="OA29" s="99">
        <v>36.838249530956801</v>
      </c>
      <c r="OB29" s="99">
        <v>36.910902439024397</v>
      </c>
      <c r="OC29" s="99">
        <v>36.983555347091901</v>
      </c>
      <c r="OD29" s="99">
        <v>37.056208255159397</v>
      </c>
      <c r="OE29" s="99">
        <v>37.128861163227</v>
      </c>
      <c r="OF29" s="99">
        <v>37.201514071294497</v>
      </c>
      <c r="OG29" s="99">
        <v>37.2741669793621</v>
      </c>
      <c r="OH29" s="99">
        <v>37.346819887429596</v>
      </c>
      <c r="OI29" s="99">
        <v>37.4194727954972</v>
      </c>
      <c r="OJ29" s="99">
        <v>37.492125703564703</v>
      </c>
      <c r="OK29" s="99">
        <v>37.5647786116322</v>
      </c>
      <c r="OL29" s="99">
        <v>37.637431519699803</v>
      </c>
      <c r="OM29" s="99">
        <v>37.710084427767299</v>
      </c>
      <c r="ON29" s="99">
        <v>37.782737335834902</v>
      </c>
      <c r="OO29" s="99">
        <v>37.855390243902399</v>
      </c>
      <c r="OP29" s="99">
        <v>37.928043151970002</v>
      </c>
      <c r="OQ29" s="99">
        <v>38.000696060037498</v>
      </c>
      <c r="OR29" s="99">
        <v>38.073348968105002</v>
      </c>
      <c r="OS29" s="99">
        <v>38.146001876172598</v>
      </c>
      <c r="OT29" s="99">
        <v>38.218654784240101</v>
      </c>
      <c r="OU29" s="99">
        <v>38.291307692307697</v>
      </c>
      <c r="OV29" s="99">
        <v>38.363960600375201</v>
      </c>
      <c r="OW29" s="99">
        <v>38.436613508442697</v>
      </c>
      <c r="OX29" s="99">
        <v>38.5092664165103</v>
      </c>
      <c r="OY29" s="99">
        <v>38.581919324577797</v>
      </c>
      <c r="OZ29" s="99">
        <v>38.6545722326454</v>
      </c>
      <c r="PA29" s="99">
        <v>38.727225140712903</v>
      </c>
      <c r="PB29" s="99">
        <v>38.799878048780499</v>
      </c>
      <c r="PC29" s="99">
        <v>38.872530956848003</v>
      </c>
      <c r="PD29" s="99">
        <v>38.945183864915499</v>
      </c>
      <c r="PE29" s="99">
        <v>39.017836772983102</v>
      </c>
      <c r="PF29" s="99">
        <v>39.090489681050599</v>
      </c>
      <c r="PG29" s="99">
        <v>39.163142589118202</v>
      </c>
      <c r="PH29" s="99">
        <v>39.235795497185698</v>
      </c>
      <c r="PI29" s="99">
        <v>39.308448405253301</v>
      </c>
      <c r="PJ29" s="99">
        <v>39.381101313320798</v>
      </c>
      <c r="PK29" s="99">
        <v>39.453754221388301</v>
      </c>
      <c r="PL29" s="99">
        <v>39.526407129455897</v>
      </c>
      <c r="PM29" s="99">
        <v>39.599060037523401</v>
      </c>
      <c r="PN29" s="99">
        <v>39.671712945590997</v>
      </c>
      <c r="PO29" s="99">
        <v>39.7443658536585</v>
      </c>
      <c r="PP29" s="99">
        <v>39.817018761725997</v>
      </c>
      <c r="PQ29" s="99">
        <v>39.8896716697936</v>
      </c>
      <c r="PR29" s="99">
        <v>39.962324577861096</v>
      </c>
      <c r="PS29" s="99">
        <v>40.0349774859287</v>
      </c>
      <c r="PT29" s="99">
        <v>40.107630393996203</v>
      </c>
      <c r="PU29" s="99">
        <v>40.180283302063799</v>
      </c>
      <c r="PV29" s="99">
        <v>40.252936210131303</v>
      </c>
      <c r="PW29" s="99">
        <v>40.325589118198799</v>
      </c>
      <c r="PX29" s="99">
        <v>40.398242026266402</v>
      </c>
      <c r="PY29" s="99">
        <v>40.470894934333899</v>
      </c>
      <c r="PZ29" s="99">
        <v>40.543547842401502</v>
      </c>
      <c r="QA29" s="99">
        <v>40.616200750468998</v>
      </c>
      <c r="QB29" s="99">
        <v>40.688853658536601</v>
      </c>
      <c r="QC29" s="99">
        <v>40.761506566604098</v>
      </c>
      <c r="QD29" s="99">
        <v>40.834159474671601</v>
      </c>
      <c r="QE29" s="99">
        <v>40.906812382739197</v>
      </c>
      <c r="QF29" s="99">
        <v>40.979465290806701</v>
      </c>
      <c r="QG29" s="99">
        <v>41.052118198874297</v>
      </c>
      <c r="QH29" s="99">
        <v>41.1247711069418</v>
      </c>
      <c r="QI29" s="99">
        <v>41.197424015009297</v>
      </c>
      <c r="QJ29" s="99">
        <v>41.2700769230769</v>
      </c>
      <c r="QK29" s="99">
        <v>41.342729831144403</v>
      </c>
      <c r="QL29" s="99">
        <v>41.415382739211999</v>
      </c>
      <c r="QM29" s="99">
        <v>41.488035647279503</v>
      </c>
      <c r="QN29" s="99">
        <v>41.560688555347099</v>
      </c>
      <c r="QO29" s="99">
        <v>41.633341463414602</v>
      </c>
      <c r="QP29" s="99">
        <v>41.705994371482198</v>
      </c>
      <c r="QQ29" s="99">
        <v>41.778647279549702</v>
      </c>
      <c r="QR29" s="99">
        <v>41.851300187617198</v>
      </c>
      <c r="QS29" s="99">
        <v>41.923953095684801</v>
      </c>
      <c r="QT29" s="99">
        <v>41.996606003752298</v>
      </c>
      <c r="QU29" s="99">
        <v>42.069258911819901</v>
      </c>
      <c r="QV29" s="99">
        <v>42.141911819887397</v>
      </c>
      <c r="QW29" s="99">
        <v>42.214564727954901</v>
      </c>
      <c r="QX29" s="99">
        <v>42.287217636022497</v>
      </c>
      <c r="QY29" s="99">
        <v>42.359870544090001</v>
      </c>
      <c r="QZ29" s="99">
        <v>42.432523452157596</v>
      </c>
      <c r="RA29" s="99">
        <v>42.5051763602251</v>
      </c>
      <c r="RB29" s="99">
        <v>42.577829268292703</v>
      </c>
      <c r="RC29" s="99">
        <v>42.6504821763602</v>
      </c>
      <c r="RD29" s="99">
        <v>42.723135084427703</v>
      </c>
      <c r="RE29" s="99">
        <v>42.795787992495299</v>
      </c>
      <c r="RF29" s="99">
        <v>42.868440900562803</v>
      </c>
      <c r="RG29" s="99">
        <v>42.941093808630399</v>
      </c>
      <c r="RH29" s="99">
        <v>43.013746716697902</v>
      </c>
      <c r="RI29" s="99">
        <v>43.086399624765498</v>
      </c>
      <c r="RJ29" s="99">
        <v>43.159052532833002</v>
      </c>
      <c r="RK29" s="99">
        <v>43.231705440900498</v>
      </c>
      <c r="RL29" s="99">
        <v>43.304358348968101</v>
      </c>
      <c r="RM29" s="99">
        <v>43.377011257035598</v>
      </c>
      <c r="RN29" s="99">
        <v>43.449664165103201</v>
      </c>
      <c r="RO29" s="99">
        <v>43.522317073170697</v>
      </c>
      <c r="RP29" s="99">
        <v>43.594969981238201</v>
      </c>
      <c r="RQ29" s="99">
        <v>43.667622889305797</v>
      </c>
      <c r="RR29" s="99">
        <v>43.7402757973733</v>
      </c>
      <c r="RS29" s="99">
        <v>43.812928705440903</v>
      </c>
      <c r="RT29" s="99">
        <v>43.8855816135084</v>
      </c>
      <c r="RU29" s="99">
        <v>43.958234521576003</v>
      </c>
      <c r="RV29" s="99">
        <v>44.030887429643499</v>
      </c>
      <c r="RW29" s="99">
        <v>44.103540337711003</v>
      </c>
      <c r="RX29" s="99">
        <v>44.176193245778599</v>
      </c>
      <c r="RY29" s="99">
        <v>44.248846153846102</v>
      </c>
      <c r="RZ29" s="99">
        <v>44.321499061913698</v>
      </c>
      <c r="SA29" s="99">
        <v>44.394151969981202</v>
      </c>
      <c r="SB29" s="99">
        <v>44.466804878048798</v>
      </c>
      <c r="SC29" s="99">
        <v>44.539457786116301</v>
      </c>
      <c r="SD29" s="99">
        <v>44.612110694183798</v>
      </c>
      <c r="SE29" s="99">
        <v>44.684763602251401</v>
      </c>
      <c r="SF29" s="99">
        <v>44.757416510318897</v>
      </c>
      <c r="SG29" s="99">
        <v>44.830069418386501</v>
      </c>
      <c r="SH29" s="99">
        <v>44.902722326453997</v>
      </c>
      <c r="SI29" s="99">
        <v>44.975375234521501</v>
      </c>
      <c r="SJ29" s="99">
        <v>45.048028142589096</v>
      </c>
      <c r="SK29" s="99">
        <v>45.1206810506566</v>
      </c>
      <c r="SL29" s="99">
        <v>45.193333958724203</v>
      </c>
      <c r="SM29" s="99">
        <v>45.2659868667917</v>
      </c>
      <c r="SN29" s="99">
        <v>45.338639774859303</v>
      </c>
      <c r="SO29" s="99">
        <v>45.411292682926799</v>
      </c>
      <c r="SP29" s="99">
        <v>45.483945590994303</v>
      </c>
      <c r="SQ29" s="99">
        <v>45.556598499061899</v>
      </c>
      <c r="SR29" s="99">
        <v>45.629251407129402</v>
      </c>
      <c r="SS29" s="99">
        <v>45.701904315196998</v>
      </c>
      <c r="ST29" s="99">
        <v>45.774557223264502</v>
      </c>
      <c r="SU29" s="99">
        <v>45.847210131332098</v>
      </c>
      <c r="SV29" s="99">
        <v>45.919863039399601</v>
      </c>
      <c r="SW29" s="99">
        <v>45.992515947467098</v>
      </c>
      <c r="SX29" s="99">
        <v>46.065168855534701</v>
      </c>
      <c r="SY29" s="99">
        <v>46.137821763602197</v>
      </c>
      <c r="SZ29" s="99">
        <v>46.2104746716698</v>
      </c>
      <c r="TA29" s="99">
        <v>46.283127579737297</v>
      </c>
      <c r="TB29" s="99">
        <v>46.3557804878049</v>
      </c>
      <c r="TC29" s="99">
        <v>46.428433395872403</v>
      </c>
      <c r="TD29" s="99">
        <v>46.5010863039399</v>
      </c>
      <c r="TE29" s="99">
        <v>46.573739212007503</v>
      </c>
      <c r="TF29" s="99">
        <v>46.646392120074999</v>
      </c>
      <c r="TG29" s="99">
        <v>46.719045028142602</v>
      </c>
      <c r="TH29" s="99">
        <v>46.791697936210099</v>
      </c>
      <c r="TI29" s="99">
        <v>46.864350844277602</v>
      </c>
      <c r="TJ29" s="99">
        <v>46.937003752345198</v>
      </c>
      <c r="TK29" s="99">
        <v>47.009656660412702</v>
      </c>
      <c r="TL29" s="99">
        <v>47.082309568480298</v>
      </c>
      <c r="TM29" s="99">
        <v>47.154962476547801</v>
      </c>
      <c r="TN29" s="99">
        <v>47.227615384615397</v>
      </c>
      <c r="TO29" s="99">
        <v>47.300268292682901</v>
      </c>
      <c r="TP29" s="99">
        <v>47.372921200750397</v>
      </c>
      <c r="TQ29" s="99">
        <v>47.445574108818001</v>
      </c>
      <c r="TR29" s="99">
        <v>47.518227016885497</v>
      </c>
      <c r="TS29" s="99">
        <v>47.5908799249531</v>
      </c>
      <c r="TT29" s="99">
        <v>47.663532833020597</v>
      </c>
      <c r="TU29" s="99">
        <v>47.7361857410882</v>
      </c>
      <c r="TV29" s="99">
        <v>47.808838649155703</v>
      </c>
      <c r="TW29" s="99">
        <v>47.8814915572232</v>
      </c>
      <c r="TX29" s="99">
        <v>47.954144465290803</v>
      </c>
      <c r="TY29" s="99">
        <v>48.026797373358299</v>
      </c>
      <c r="TZ29" s="99">
        <v>48.099450281425902</v>
      </c>
      <c r="UA29" s="99">
        <v>48.172103189493399</v>
      </c>
      <c r="UB29" s="99">
        <v>48.244756097560902</v>
      </c>
      <c r="UC29" s="99">
        <v>48.317409005628498</v>
      </c>
      <c r="UD29" s="99">
        <v>48.390061913696002</v>
      </c>
      <c r="UE29" s="99">
        <v>48.462714821763598</v>
      </c>
      <c r="UF29" s="99">
        <v>48.535367729831101</v>
      </c>
      <c r="UG29" s="99">
        <v>48.608020637898697</v>
      </c>
      <c r="UH29" s="99">
        <v>48.680673545966201</v>
      </c>
      <c r="UI29" s="99">
        <v>48.753326454033697</v>
      </c>
      <c r="UJ29" s="99">
        <v>48.8259793621013</v>
      </c>
      <c r="UK29" s="99">
        <v>48.898632270168797</v>
      </c>
      <c r="UL29" s="99">
        <v>48.9712851782364</v>
      </c>
      <c r="UM29" s="99">
        <v>49.043938086303903</v>
      </c>
      <c r="UN29" s="99">
        <v>49.116590994371499</v>
      </c>
      <c r="UO29" s="99">
        <v>49.189243902439003</v>
      </c>
      <c r="UP29" s="99">
        <v>49.261896810506499</v>
      </c>
      <c r="UQ29" s="99">
        <v>49.334549718574102</v>
      </c>
      <c r="UR29" s="99">
        <v>49.407202626641599</v>
      </c>
      <c r="US29" s="99">
        <v>49.479855534709102</v>
      </c>
      <c r="UT29" s="99">
        <v>49.552508442776698</v>
      </c>
    </row>
    <row r="30" spans="1:566" x14ac:dyDescent="0.2">
      <c r="A30" s="89">
        <v>12</v>
      </c>
      <c r="B30" s="90">
        <v>8.48</v>
      </c>
      <c r="C30" s="90">
        <v>8.5500000000000007</v>
      </c>
      <c r="D30" s="90">
        <v>8.6199999999999992</v>
      </c>
      <c r="E30" s="90">
        <v>8.69</v>
      </c>
      <c r="F30" s="90">
        <v>8.77</v>
      </c>
      <c r="G30" s="90">
        <v>8.84</v>
      </c>
      <c r="H30" s="90">
        <v>8.91</v>
      </c>
      <c r="I30" s="90">
        <v>8.98</v>
      </c>
      <c r="J30" s="90">
        <v>9.0500000000000007</v>
      </c>
      <c r="K30" s="90">
        <v>9.1199999999999992</v>
      </c>
      <c r="L30" s="90">
        <v>9.1999999999999993</v>
      </c>
      <c r="M30" s="90">
        <v>9.27</v>
      </c>
      <c r="N30" s="90">
        <v>9.34</v>
      </c>
      <c r="O30" s="90">
        <v>9.41</v>
      </c>
      <c r="P30" s="90">
        <v>9.48</v>
      </c>
      <c r="Q30" s="90">
        <v>9.56</v>
      </c>
      <c r="R30" s="90">
        <v>9.6300000000000008</v>
      </c>
      <c r="S30" s="90">
        <v>9.6999999999999993</v>
      </c>
      <c r="T30" s="90">
        <v>9.77</v>
      </c>
      <c r="U30" s="91">
        <v>9.84</v>
      </c>
      <c r="V30" s="90">
        <v>9.91</v>
      </c>
      <c r="W30" s="90">
        <v>9.99</v>
      </c>
      <c r="X30" s="90">
        <v>10.06</v>
      </c>
      <c r="Y30" s="90">
        <v>10.130000000000001</v>
      </c>
      <c r="Z30" s="90">
        <v>10.199999999999999</v>
      </c>
      <c r="AA30" s="90">
        <v>10.27</v>
      </c>
      <c r="AB30" s="90">
        <v>10.35</v>
      </c>
      <c r="AC30" s="90">
        <v>10.42</v>
      </c>
      <c r="AD30" s="90">
        <v>10.49</v>
      </c>
      <c r="AE30" s="90">
        <v>10.56</v>
      </c>
      <c r="AF30" s="90">
        <v>10.63</v>
      </c>
      <c r="AG30" s="90">
        <v>10.71</v>
      </c>
      <c r="AH30" s="90">
        <v>10.78</v>
      </c>
      <c r="AI30" s="90">
        <v>10.85</v>
      </c>
      <c r="AJ30" s="90">
        <v>10.92</v>
      </c>
      <c r="AK30" s="90">
        <v>10.99</v>
      </c>
      <c r="AL30" s="90">
        <v>11.06</v>
      </c>
      <c r="AM30" s="90">
        <v>11.14</v>
      </c>
      <c r="AN30" s="90">
        <v>11.21</v>
      </c>
      <c r="AO30" s="91">
        <v>11.28</v>
      </c>
      <c r="AP30" s="90">
        <v>11.3519230769231</v>
      </c>
      <c r="AQ30" s="90">
        <v>11.4237729831144</v>
      </c>
      <c r="AR30" s="90">
        <v>11.4956228893058</v>
      </c>
      <c r="AS30" s="90">
        <v>11.567472795497199</v>
      </c>
      <c r="AT30" s="90">
        <v>11.639322701688601</v>
      </c>
      <c r="AU30" s="90">
        <v>11.711172607879901</v>
      </c>
      <c r="AV30" s="90">
        <v>11.7830225140713</v>
      </c>
      <c r="AW30" s="90">
        <v>11.8548724202627</v>
      </c>
      <c r="AX30" s="90">
        <v>11.926722326454</v>
      </c>
      <c r="AY30" s="90">
        <v>11.998572232645399</v>
      </c>
      <c r="AZ30" s="90">
        <v>12.0704221388368</v>
      </c>
      <c r="BA30" s="90">
        <v>12.142272045028101</v>
      </c>
      <c r="BB30" s="90">
        <v>12.2141219512195</v>
      </c>
      <c r="BC30" s="90">
        <v>12.2859718574109</v>
      </c>
      <c r="BD30" s="90">
        <v>12.357821763602299</v>
      </c>
      <c r="BE30" s="90">
        <v>12.429671669793599</v>
      </c>
      <c r="BF30" s="90">
        <v>12.501521575985</v>
      </c>
      <c r="BG30" s="90">
        <v>12.5733714821764</v>
      </c>
      <c r="BH30" s="90">
        <v>12.6452213883677</v>
      </c>
      <c r="BI30" s="91">
        <v>12.7170712945591</v>
      </c>
      <c r="BJ30" s="90">
        <v>12.788921200750501</v>
      </c>
      <c r="BK30" s="99">
        <v>12.860771106941799</v>
      </c>
      <c r="BL30" s="99">
        <v>12.9326210131332</v>
      </c>
      <c r="BM30" s="99">
        <v>13.0044709193246</v>
      </c>
      <c r="BN30" s="99">
        <v>13.076320825516</v>
      </c>
      <c r="BO30" s="99">
        <v>13.1481707317073</v>
      </c>
      <c r="BP30" s="99">
        <v>13.220020637898701</v>
      </c>
      <c r="BQ30" s="99">
        <v>13.2918705440901</v>
      </c>
      <c r="BR30" s="99">
        <v>13.3637204502814</v>
      </c>
      <c r="BS30" s="99">
        <v>13.4355703564728</v>
      </c>
      <c r="BT30" s="99">
        <v>13.507420262664199</v>
      </c>
      <c r="BU30" s="99">
        <v>13.5792701688555</v>
      </c>
      <c r="BV30" s="99">
        <v>13.651120075046901</v>
      </c>
      <c r="BW30" s="99">
        <v>13.7229699812383</v>
      </c>
      <c r="BX30" s="99">
        <v>13.7948198874296</v>
      </c>
      <c r="BY30" s="99">
        <v>13.866669793621</v>
      </c>
      <c r="BZ30" s="99">
        <v>13.938519699812399</v>
      </c>
      <c r="CA30" s="99">
        <v>14.010369606003801</v>
      </c>
      <c r="CB30" s="99">
        <v>14.082219512195101</v>
      </c>
      <c r="CC30" s="99">
        <v>14.1540694183865</v>
      </c>
      <c r="CD30" s="99">
        <v>14.2259193245779</v>
      </c>
      <c r="CE30" s="99">
        <v>14.2977692307692</v>
      </c>
      <c r="CF30" s="99">
        <v>14.369619136960599</v>
      </c>
      <c r="CG30" s="99">
        <v>14.441469043152001</v>
      </c>
      <c r="CH30" s="99">
        <v>14.513318949343301</v>
      </c>
      <c r="CI30" s="99">
        <v>14.5851688555347</v>
      </c>
      <c r="CJ30" s="99">
        <v>14.6570187617261</v>
      </c>
      <c r="CK30" s="99">
        <v>14.728868667917499</v>
      </c>
      <c r="CL30" s="99">
        <v>14.800718574108799</v>
      </c>
      <c r="CM30" s="99">
        <v>14.872568480300201</v>
      </c>
      <c r="CN30" s="99">
        <v>14.9444183864916</v>
      </c>
      <c r="CO30" s="99">
        <v>15.0162682926829</v>
      </c>
      <c r="CP30" s="99">
        <v>15.0881181988743</v>
      </c>
      <c r="CQ30" s="99">
        <v>15.159968105065699</v>
      </c>
      <c r="CR30" s="99">
        <v>15.231818011256999</v>
      </c>
      <c r="CS30" s="99">
        <v>15.303667917448401</v>
      </c>
      <c r="CT30" s="99">
        <v>15.3755178236398</v>
      </c>
      <c r="CU30" s="99">
        <v>15.4473677298311</v>
      </c>
      <c r="CV30" s="99">
        <v>15.5192176360225</v>
      </c>
      <c r="CW30" s="99">
        <v>15.591067542213899</v>
      </c>
      <c r="CX30" s="99">
        <v>15.662917448405301</v>
      </c>
      <c r="CY30" s="99">
        <v>15.734767354596601</v>
      </c>
      <c r="CZ30" s="99">
        <v>15.806617260788</v>
      </c>
      <c r="DA30" s="99">
        <v>15.8784671669794</v>
      </c>
      <c r="DB30" s="99">
        <v>15.9503170731707</v>
      </c>
      <c r="DC30" s="99">
        <v>16.022166979362101</v>
      </c>
      <c r="DD30" s="99">
        <v>16.094016885553501</v>
      </c>
      <c r="DE30" s="99">
        <v>16.165866791744801</v>
      </c>
      <c r="DF30" s="99">
        <v>16.2377166979362</v>
      </c>
      <c r="DG30" s="99">
        <v>16.3095666041276</v>
      </c>
      <c r="DH30" s="99">
        <v>16.3814165103189</v>
      </c>
      <c r="DI30" s="99">
        <v>16.453266416510299</v>
      </c>
      <c r="DJ30" s="99">
        <v>16.525116322701699</v>
      </c>
      <c r="DK30" s="99">
        <v>16.596966228893098</v>
      </c>
      <c r="DL30" s="99">
        <v>16.668816135084398</v>
      </c>
      <c r="DM30" s="99">
        <v>16.740666041275801</v>
      </c>
      <c r="DN30" s="99">
        <v>16.812515947467201</v>
      </c>
      <c r="DO30" s="99">
        <v>16.884365853658501</v>
      </c>
      <c r="DP30" s="99">
        <v>16.956215759849901</v>
      </c>
      <c r="DQ30" s="99">
        <v>17.0280656660413</v>
      </c>
      <c r="DR30" s="99">
        <v>17.0999155722327</v>
      </c>
      <c r="DS30" s="99">
        <v>17.171765478424</v>
      </c>
      <c r="DT30" s="99">
        <v>17.243615384615399</v>
      </c>
      <c r="DU30" s="99">
        <v>17.315465290806699</v>
      </c>
      <c r="DV30" s="99">
        <v>17.387315196998099</v>
      </c>
      <c r="DW30" s="99">
        <v>17.459165103189498</v>
      </c>
      <c r="DX30" s="99">
        <v>17.531015009380901</v>
      </c>
      <c r="DY30" s="99">
        <v>17.602864915572201</v>
      </c>
      <c r="DZ30" s="99">
        <v>17.674714821763601</v>
      </c>
      <c r="EA30" s="99">
        <v>17.746564727955001</v>
      </c>
      <c r="EB30" s="99">
        <v>17.818414634146301</v>
      </c>
      <c r="EC30" s="99">
        <v>17.8902645403377</v>
      </c>
      <c r="ED30" s="99">
        <v>17.9621144465291</v>
      </c>
      <c r="EE30" s="99">
        <v>18.033964352720499</v>
      </c>
      <c r="EF30" s="99">
        <v>18.105814258911799</v>
      </c>
      <c r="EG30" s="99">
        <v>18.177664165103199</v>
      </c>
      <c r="EH30" s="99">
        <v>18.249514071294598</v>
      </c>
      <c r="EI30" s="99">
        <v>18.321363977485898</v>
      </c>
      <c r="EJ30" s="99">
        <v>18.393213883677301</v>
      </c>
      <c r="EK30" s="99">
        <v>18.465063789868701</v>
      </c>
      <c r="EL30" s="99">
        <v>18.536913696060001</v>
      </c>
      <c r="EM30" s="99">
        <v>18.6087636022514</v>
      </c>
      <c r="EN30" s="99">
        <v>18.6806135084428</v>
      </c>
      <c r="EO30" s="99">
        <v>18.7524634146342</v>
      </c>
      <c r="EP30" s="99">
        <v>18.8243133208255</v>
      </c>
      <c r="EQ30" s="99">
        <v>18.896163227016899</v>
      </c>
      <c r="ER30" s="99">
        <v>18.968013133208299</v>
      </c>
      <c r="ES30" s="99">
        <v>19.039863039399599</v>
      </c>
      <c r="ET30" s="99">
        <v>19.111712945591002</v>
      </c>
      <c r="EU30" s="99">
        <v>19.183562851782401</v>
      </c>
      <c r="EV30" s="99">
        <v>19.255412757973701</v>
      </c>
      <c r="EW30" s="99">
        <v>19.327262664165101</v>
      </c>
      <c r="EX30" s="99">
        <v>19.3991125703565</v>
      </c>
      <c r="EY30" s="99">
        <v>19.4709624765479</v>
      </c>
      <c r="EZ30" s="99">
        <v>19.5428123827392</v>
      </c>
      <c r="FA30" s="99">
        <v>19.614662288930599</v>
      </c>
      <c r="FB30" s="99">
        <v>19.686512195121999</v>
      </c>
      <c r="FC30" s="99">
        <v>19.758362101313299</v>
      </c>
      <c r="FD30" s="99">
        <v>19.830212007504699</v>
      </c>
      <c r="FE30" s="99">
        <v>19.902061913696102</v>
      </c>
      <c r="FF30" s="99">
        <v>19.973911819887402</v>
      </c>
      <c r="FG30" s="99">
        <v>20.045761726078801</v>
      </c>
      <c r="FH30" s="99">
        <v>20.117611632270201</v>
      </c>
      <c r="FI30" s="99">
        <v>20.1894615384616</v>
      </c>
      <c r="FJ30" s="99">
        <v>20.2613114446529</v>
      </c>
      <c r="FK30" s="99">
        <v>20.3331613508443</v>
      </c>
      <c r="FL30" s="99">
        <v>20.405011257035699</v>
      </c>
      <c r="FM30" s="99">
        <v>20.476861163226999</v>
      </c>
      <c r="FN30" s="99">
        <v>20.548711069418399</v>
      </c>
      <c r="FO30" s="99">
        <v>20.620560975609799</v>
      </c>
      <c r="FP30" s="99">
        <v>20.692410881801099</v>
      </c>
      <c r="FQ30" s="99">
        <v>20.764260787992502</v>
      </c>
      <c r="FR30" s="99">
        <v>20.836110694183901</v>
      </c>
      <c r="FS30" s="99">
        <v>20.907960600375201</v>
      </c>
      <c r="FT30" s="99">
        <v>20.979810506566601</v>
      </c>
      <c r="FU30" s="99">
        <v>21.051660412758</v>
      </c>
      <c r="FV30" s="99">
        <v>21.1235103189494</v>
      </c>
      <c r="FW30" s="99">
        <v>21.1953602251407</v>
      </c>
      <c r="FX30" s="99">
        <v>21.267210131332099</v>
      </c>
      <c r="FY30" s="99">
        <v>21.339060037523499</v>
      </c>
      <c r="FZ30" s="99">
        <v>21.410909943714799</v>
      </c>
      <c r="GA30" s="99">
        <v>21.482759849906198</v>
      </c>
      <c r="GB30" s="99">
        <v>21.554609756097602</v>
      </c>
      <c r="GC30" s="99">
        <v>21.626459662288902</v>
      </c>
      <c r="GD30" s="99">
        <v>21.698309568480301</v>
      </c>
      <c r="GE30" s="99">
        <v>21.770159474671701</v>
      </c>
      <c r="GF30" s="99">
        <v>21.8420093808631</v>
      </c>
      <c r="GG30" s="99">
        <v>21.9138592870544</v>
      </c>
      <c r="GH30" s="99">
        <v>21.9857091932458</v>
      </c>
      <c r="GI30" s="99">
        <v>22.057559099437199</v>
      </c>
      <c r="GJ30" s="99">
        <v>22.129409005628499</v>
      </c>
      <c r="GK30" s="99">
        <v>22.201258911819899</v>
      </c>
      <c r="GL30" s="99">
        <v>22.273108818011298</v>
      </c>
      <c r="GM30" s="99">
        <v>22.344958724202598</v>
      </c>
      <c r="GN30" s="99">
        <v>22.416808630394002</v>
      </c>
      <c r="GO30" s="99">
        <v>22.488658536585401</v>
      </c>
      <c r="GP30" s="99">
        <v>22.560508442776701</v>
      </c>
      <c r="GQ30" s="99">
        <v>22.632358348968101</v>
      </c>
      <c r="GR30" s="99">
        <v>22.7042082551595</v>
      </c>
      <c r="GS30" s="99">
        <v>22.7760581613509</v>
      </c>
      <c r="GT30" s="99">
        <v>22.8479080675422</v>
      </c>
      <c r="GU30" s="99">
        <v>22.919757973733599</v>
      </c>
      <c r="GV30" s="99">
        <v>22.991607879924999</v>
      </c>
      <c r="GW30" s="99">
        <v>23.063457786116299</v>
      </c>
      <c r="GX30" s="99">
        <v>23.135307692307698</v>
      </c>
      <c r="GY30" s="99">
        <v>23.207157598499101</v>
      </c>
      <c r="GZ30" s="99">
        <v>23.279007504690401</v>
      </c>
      <c r="HA30" s="99">
        <v>23.350857410881801</v>
      </c>
      <c r="HB30" s="99">
        <v>23.422707317073201</v>
      </c>
      <c r="HC30" s="99">
        <v>23.4945572232646</v>
      </c>
      <c r="HD30" s="99">
        <v>23.5664071294559</v>
      </c>
      <c r="HE30" s="99">
        <v>23.6382570356473</v>
      </c>
      <c r="HF30" s="99">
        <v>23.710106941838699</v>
      </c>
      <c r="HG30" s="99">
        <v>23.781956848029999</v>
      </c>
      <c r="HH30" s="99">
        <v>23.853806754221399</v>
      </c>
      <c r="HI30" s="99">
        <v>23.925656660412798</v>
      </c>
      <c r="HJ30" s="99">
        <v>23.997506566604098</v>
      </c>
      <c r="HK30" s="99">
        <v>24.069356472795501</v>
      </c>
      <c r="HL30" s="99">
        <v>24.141206378986901</v>
      </c>
      <c r="HM30" s="99">
        <v>24.2130562851783</v>
      </c>
      <c r="HN30" s="99">
        <v>24.2849061913696</v>
      </c>
      <c r="HO30" s="99">
        <v>24.356756097561</v>
      </c>
      <c r="HP30" s="99">
        <v>24.4286060037524</v>
      </c>
      <c r="HQ30" s="99">
        <v>24.5004559099437</v>
      </c>
      <c r="HR30" s="99">
        <v>24.572305816135099</v>
      </c>
      <c r="HS30" s="99">
        <v>24.644155722326499</v>
      </c>
      <c r="HT30" s="99">
        <v>24.716005628517799</v>
      </c>
      <c r="HU30" s="99">
        <v>24.787855534709202</v>
      </c>
      <c r="HV30" s="99">
        <v>24.859705440900601</v>
      </c>
      <c r="HW30" s="99">
        <v>24.931555347091901</v>
      </c>
      <c r="HX30" s="99">
        <v>25.003405253283301</v>
      </c>
      <c r="HY30" s="99">
        <v>25.0752551594747</v>
      </c>
      <c r="HZ30" s="99">
        <v>25.1471050656661</v>
      </c>
      <c r="IA30" s="99">
        <v>25.2189549718574</v>
      </c>
      <c r="IB30" s="99">
        <v>25.2908048780488</v>
      </c>
      <c r="IC30" s="99">
        <v>25.362654784240199</v>
      </c>
      <c r="ID30" s="99">
        <v>25.434504690431499</v>
      </c>
      <c r="IE30" s="99">
        <v>25.506354596622899</v>
      </c>
      <c r="IF30" s="99">
        <v>25.578204502814302</v>
      </c>
      <c r="IG30" s="99">
        <v>25.650054409005602</v>
      </c>
      <c r="IH30" s="99">
        <v>25.721904315197001</v>
      </c>
      <c r="II30" s="99">
        <v>25.793754221388401</v>
      </c>
      <c r="IJ30" s="99">
        <v>25.8656041275798</v>
      </c>
      <c r="IK30" s="99">
        <v>25.9374540337711</v>
      </c>
      <c r="IL30" s="99">
        <v>26.0093039399625</v>
      </c>
      <c r="IM30" s="99">
        <v>26.081153846153899</v>
      </c>
      <c r="IN30" s="99">
        <v>26.153003752345199</v>
      </c>
      <c r="IO30" s="99">
        <v>26.224853658536599</v>
      </c>
      <c r="IP30" s="99">
        <v>26.296703564727999</v>
      </c>
      <c r="IQ30" s="99">
        <v>26.368553470919299</v>
      </c>
      <c r="IR30" s="99">
        <v>26.440403377110702</v>
      </c>
      <c r="IS30" s="99">
        <v>26.512253283302101</v>
      </c>
      <c r="IT30" s="99">
        <v>26.584103189493401</v>
      </c>
      <c r="IU30" s="99">
        <v>26.655953095684801</v>
      </c>
      <c r="IV30" s="99">
        <v>26.7278030018762</v>
      </c>
      <c r="IW30" s="99">
        <v>26.7996529080676</v>
      </c>
      <c r="IX30" s="99">
        <v>26.8715028142589</v>
      </c>
      <c r="IY30" s="99">
        <v>26.943352720450299</v>
      </c>
      <c r="IZ30" s="99">
        <v>27.015202626641699</v>
      </c>
      <c r="JA30" s="99">
        <v>27.087052532832999</v>
      </c>
      <c r="JB30" s="99">
        <v>27.158902439024398</v>
      </c>
      <c r="JC30" s="99">
        <v>27.230752345215802</v>
      </c>
      <c r="JD30" s="99">
        <v>27.302602251407102</v>
      </c>
      <c r="JE30" s="99">
        <v>27.374452157598501</v>
      </c>
      <c r="JF30" s="99">
        <v>27.446302063789901</v>
      </c>
      <c r="JG30" s="99">
        <v>27.5181519699813</v>
      </c>
      <c r="JH30" s="99">
        <v>27.5900018761726</v>
      </c>
      <c r="JI30" s="99">
        <v>27.661851782364</v>
      </c>
      <c r="JJ30" s="99">
        <v>27.733701688555399</v>
      </c>
      <c r="JK30" s="99">
        <v>27.805551594746699</v>
      </c>
      <c r="JL30" s="99">
        <v>27.877401500938099</v>
      </c>
      <c r="JM30" s="99">
        <v>27.949251407129498</v>
      </c>
      <c r="JN30" s="99">
        <v>28.021101313320798</v>
      </c>
      <c r="JO30" s="99">
        <v>28.092951219512202</v>
      </c>
      <c r="JP30" s="99">
        <v>28.164801125703601</v>
      </c>
      <c r="JQ30" s="99">
        <v>28.236651031894901</v>
      </c>
      <c r="JR30" s="99">
        <v>28.308500938086301</v>
      </c>
      <c r="JS30" s="99">
        <v>28.3803508442777</v>
      </c>
      <c r="JT30" s="99">
        <v>28.4522007504691</v>
      </c>
      <c r="JU30" s="99">
        <v>28.5240506566604</v>
      </c>
      <c r="JV30" s="99">
        <v>28.595900562851799</v>
      </c>
      <c r="JW30" s="99">
        <v>28.667750469043199</v>
      </c>
      <c r="JX30" s="99">
        <v>28.739600375234499</v>
      </c>
      <c r="JY30" s="99">
        <v>28.811450281425898</v>
      </c>
      <c r="JZ30" s="99">
        <v>28.883300187617301</v>
      </c>
      <c r="KA30" s="99">
        <v>28.955150093808601</v>
      </c>
      <c r="KB30" s="99">
        <v>29.027000000000001</v>
      </c>
      <c r="KC30" s="99">
        <v>29.098849906191401</v>
      </c>
      <c r="KD30" s="99">
        <v>29.1706998123828</v>
      </c>
      <c r="KE30" s="99">
        <v>29.2425497185741</v>
      </c>
      <c r="KF30" s="99">
        <v>29.3143996247655</v>
      </c>
      <c r="KG30" s="99">
        <v>29.386249530956899</v>
      </c>
      <c r="KH30" s="99">
        <v>29.458099437148199</v>
      </c>
      <c r="KI30" s="99">
        <v>29.529949343339599</v>
      </c>
      <c r="KJ30" s="99">
        <v>29.601799249530998</v>
      </c>
      <c r="KK30" s="99">
        <v>29.673649155722298</v>
      </c>
      <c r="KL30" s="99">
        <v>29.745499061913701</v>
      </c>
      <c r="KM30" s="99">
        <v>29.817348968105101</v>
      </c>
      <c r="KN30" s="99">
        <v>29.8891988742965</v>
      </c>
      <c r="KO30" s="99">
        <v>29.961048780487801</v>
      </c>
      <c r="KP30" s="99">
        <v>30.0328986866792</v>
      </c>
      <c r="KQ30" s="99">
        <v>30.1047485928706</v>
      </c>
      <c r="KR30" s="99">
        <v>30.1765984990619</v>
      </c>
      <c r="KS30" s="99">
        <v>30.248448405253299</v>
      </c>
      <c r="KT30" s="99">
        <v>30.320298311444699</v>
      </c>
      <c r="KU30" s="99">
        <v>30.392148217635999</v>
      </c>
      <c r="KV30" s="99">
        <v>30.463998123827398</v>
      </c>
      <c r="KW30" s="99">
        <v>30.535848030018801</v>
      </c>
      <c r="KX30" s="99">
        <v>30.607697936210101</v>
      </c>
      <c r="KY30" s="99">
        <v>30.679547842401501</v>
      </c>
      <c r="KZ30" s="99">
        <v>30.7513977485929</v>
      </c>
      <c r="LA30" s="99">
        <v>30.8232476547843</v>
      </c>
      <c r="LB30" s="99">
        <v>30.8950975609756</v>
      </c>
      <c r="LC30" s="99">
        <v>30.966947467167</v>
      </c>
      <c r="LD30" s="99">
        <v>31.038797373358399</v>
      </c>
      <c r="LE30" s="99">
        <v>31.110647279549699</v>
      </c>
      <c r="LF30" s="99">
        <v>31.182497185741099</v>
      </c>
      <c r="LG30" s="99">
        <v>31.254347091932502</v>
      </c>
      <c r="LH30" s="99">
        <v>31.326196998123802</v>
      </c>
      <c r="LI30" s="99">
        <v>31.398046904315201</v>
      </c>
      <c r="LJ30" s="99">
        <v>31.469896810506601</v>
      </c>
      <c r="LK30" s="99">
        <v>31.541746716698</v>
      </c>
      <c r="LL30" s="99">
        <v>31.6135966228893</v>
      </c>
      <c r="LM30" s="99">
        <v>31.6854465290807</v>
      </c>
      <c r="LN30" s="99">
        <v>31.757296435272099</v>
      </c>
      <c r="LO30" s="99">
        <v>31.829146341463399</v>
      </c>
      <c r="LP30" s="99">
        <v>31.900996247654799</v>
      </c>
      <c r="LQ30" s="99">
        <v>31.972846153846199</v>
      </c>
      <c r="LR30" s="99">
        <v>32.044696060037502</v>
      </c>
      <c r="LS30" s="99">
        <v>32.116545966228898</v>
      </c>
      <c r="LT30" s="99">
        <v>32.188395872420301</v>
      </c>
      <c r="LU30" s="99">
        <v>32.260245778611598</v>
      </c>
      <c r="LV30" s="99">
        <v>32.332095684803001</v>
      </c>
      <c r="LW30" s="99">
        <v>32.403945590994397</v>
      </c>
      <c r="LX30" s="99">
        <v>32.4757954971858</v>
      </c>
      <c r="LY30" s="99">
        <v>32.547645403377103</v>
      </c>
      <c r="LZ30" s="99">
        <v>32.619495309568499</v>
      </c>
      <c r="MA30" s="99">
        <v>32.691345215759902</v>
      </c>
      <c r="MB30" s="99">
        <v>32.763195121951199</v>
      </c>
      <c r="MC30" s="99">
        <v>32.835045028142602</v>
      </c>
      <c r="MD30" s="99">
        <v>32.906894934333998</v>
      </c>
      <c r="ME30" s="99">
        <v>32.978744840525302</v>
      </c>
      <c r="MF30" s="99">
        <v>33.050594746716698</v>
      </c>
      <c r="MG30" s="99">
        <v>33.122444652908101</v>
      </c>
      <c r="MH30" s="99">
        <v>33.194294559099497</v>
      </c>
      <c r="MI30" s="99">
        <v>33.2661444652908</v>
      </c>
      <c r="MJ30" s="99">
        <v>33.337994371482203</v>
      </c>
      <c r="MK30" s="99">
        <v>33.409844277673599</v>
      </c>
      <c r="ML30" s="99">
        <v>33.481694183864903</v>
      </c>
      <c r="MM30" s="99">
        <v>33.553544090056299</v>
      </c>
      <c r="MN30" s="99">
        <v>33.625393996247702</v>
      </c>
      <c r="MO30" s="99">
        <v>33.697243902438998</v>
      </c>
      <c r="MP30" s="99">
        <v>33.769093808630402</v>
      </c>
      <c r="MQ30" s="99">
        <v>33.840943714821798</v>
      </c>
      <c r="MR30" s="99">
        <v>33.912793621013101</v>
      </c>
      <c r="MS30" s="99">
        <v>33.984643527204497</v>
      </c>
      <c r="MT30" s="99">
        <v>34.0564934333959</v>
      </c>
      <c r="MU30" s="99">
        <v>34.128343339587303</v>
      </c>
      <c r="MV30" s="99">
        <v>34.2001932457786</v>
      </c>
      <c r="MW30" s="99">
        <v>34.272043151970003</v>
      </c>
      <c r="MX30" s="99">
        <v>34.343893058161399</v>
      </c>
      <c r="MY30" s="99">
        <v>34.415742964352702</v>
      </c>
      <c r="MZ30" s="99">
        <v>34.487592870544098</v>
      </c>
      <c r="NA30" s="99">
        <v>34.559442776735501</v>
      </c>
      <c r="NB30" s="99">
        <v>34.631292682926798</v>
      </c>
      <c r="NC30" s="99">
        <v>34.703142589118201</v>
      </c>
      <c r="ND30" s="99">
        <v>34.774992495309597</v>
      </c>
      <c r="NE30" s="99">
        <v>34.846842401501</v>
      </c>
      <c r="NF30" s="99">
        <v>34.918692307692297</v>
      </c>
      <c r="NG30" s="99">
        <v>34.9905422138837</v>
      </c>
      <c r="NH30" s="99">
        <v>35.062392120075103</v>
      </c>
      <c r="NI30" s="99">
        <v>35.134242026266399</v>
      </c>
      <c r="NJ30" s="99">
        <v>35.206091932457802</v>
      </c>
      <c r="NK30" s="99">
        <v>35.277941838649198</v>
      </c>
      <c r="NL30" s="99">
        <v>35.349791744840502</v>
      </c>
      <c r="NM30" s="99">
        <v>35.421641651031898</v>
      </c>
      <c r="NN30" s="99">
        <v>35.493491557223301</v>
      </c>
      <c r="NO30" s="99">
        <v>35.565341463414697</v>
      </c>
      <c r="NP30" s="99">
        <v>35.637191369606001</v>
      </c>
      <c r="NQ30" s="99">
        <v>35.709041275797397</v>
      </c>
      <c r="NR30" s="99">
        <v>35.7808911819888</v>
      </c>
      <c r="NS30" s="99">
        <v>35.852741088180103</v>
      </c>
      <c r="NT30" s="99">
        <v>35.924590994371499</v>
      </c>
      <c r="NU30" s="99">
        <v>35.996440900562902</v>
      </c>
      <c r="NV30" s="99">
        <v>36.068290806754199</v>
      </c>
      <c r="NW30" s="99">
        <v>36.140140712945602</v>
      </c>
      <c r="NX30" s="99">
        <v>36.211990619136998</v>
      </c>
      <c r="NY30" s="99">
        <v>36.283840525328301</v>
      </c>
      <c r="NZ30" s="99">
        <v>36.355690431519697</v>
      </c>
      <c r="OA30" s="99">
        <v>36.4275403377111</v>
      </c>
      <c r="OB30" s="99">
        <v>36.499390243902504</v>
      </c>
      <c r="OC30" s="99">
        <v>36.5712401500938</v>
      </c>
      <c r="OD30" s="99">
        <v>36.643090056285203</v>
      </c>
      <c r="OE30" s="99">
        <v>36.714939962476599</v>
      </c>
      <c r="OF30" s="99">
        <v>36.786789868667903</v>
      </c>
      <c r="OG30" s="99">
        <v>36.858639774859299</v>
      </c>
      <c r="OH30" s="99">
        <v>36.930489681050702</v>
      </c>
      <c r="OI30" s="99">
        <v>37.002339587241998</v>
      </c>
      <c r="OJ30" s="99">
        <v>37.074189493433401</v>
      </c>
      <c r="OK30" s="99">
        <v>37.146039399624797</v>
      </c>
      <c r="OL30" s="99">
        <v>37.2178893058162</v>
      </c>
      <c r="OM30" s="99">
        <v>37.289739212007497</v>
      </c>
      <c r="ON30" s="99">
        <v>37.3615891181989</v>
      </c>
      <c r="OO30" s="99">
        <v>37.433439024390303</v>
      </c>
      <c r="OP30" s="99">
        <v>37.5052889305816</v>
      </c>
      <c r="OQ30" s="99">
        <v>37.577138836773003</v>
      </c>
      <c r="OR30" s="99">
        <v>37.648988742964399</v>
      </c>
      <c r="OS30" s="99">
        <v>37.720838649155702</v>
      </c>
      <c r="OT30" s="99">
        <v>37.792688555347098</v>
      </c>
      <c r="OU30" s="99">
        <v>37.864538461538501</v>
      </c>
      <c r="OV30" s="99">
        <v>37.936388367729798</v>
      </c>
      <c r="OW30" s="99">
        <v>38.008238273921201</v>
      </c>
      <c r="OX30" s="99">
        <v>38.080088180112597</v>
      </c>
      <c r="OY30" s="99">
        <v>38.151938086304</v>
      </c>
      <c r="OZ30" s="99">
        <v>38.223787992495303</v>
      </c>
      <c r="PA30" s="99">
        <v>38.295637898686699</v>
      </c>
      <c r="PB30" s="99">
        <v>38.367487804878103</v>
      </c>
      <c r="PC30" s="99">
        <v>38.439337711069399</v>
      </c>
      <c r="PD30" s="99">
        <v>38.511187617260802</v>
      </c>
      <c r="PE30" s="99">
        <v>38.583037523452198</v>
      </c>
      <c r="PF30" s="99">
        <v>38.654887429643502</v>
      </c>
      <c r="PG30" s="99">
        <v>38.726737335834898</v>
      </c>
      <c r="PH30" s="99">
        <v>38.798587242026301</v>
      </c>
      <c r="PI30" s="99">
        <v>38.870437148217697</v>
      </c>
      <c r="PJ30" s="99">
        <v>38.942287054409</v>
      </c>
      <c r="PK30" s="99">
        <v>39.014136960600403</v>
      </c>
      <c r="PL30" s="99">
        <v>39.085986866791799</v>
      </c>
      <c r="PM30" s="99">
        <v>39.157836772983103</v>
      </c>
      <c r="PN30" s="99">
        <v>39.229686679174499</v>
      </c>
      <c r="PO30" s="99">
        <v>39.301536585365902</v>
      </c>
      <c r="PP30" s="99">
        <v>39.373386491557198</v>
      </c>
      <c r="PQ30" s="99">
        <v>39.445236397748602</v>
      </c>
      <c r="PR30" s="99">
        <v>39.517086303939998</v>
      </c>
      <c r="PS30" s="99">
        <v>39.588936210131401</v>
      </c>
      <c r="PT30" s="99">
        <v>39.660786116322697</v>
      </c>
      <c r="PU30" s="99">
        <v>39.7326360225141</v>
      </c>
      <c r="PV30" s="99">
        <v>39.804485928705503</v>
      </c>
      <c r="PW30" s="99">
        <v>39.8763358348968</v>
      </c>
      <c r="PX30" s="99">
        <v>39.948185741088203</v>
      </c>
      <c r="PY30" s="99">
        <v>40.020035647279599</v>
      </c>
      <c r="PZ30" s="99">
        <v>40.091885553470902</v>
      </c>
      <c r="QA30" s="99">
        <v>40.163735459662298</v>
      </c>
      <c r="QB30" s="99">
        <v>40.235585365853701</v>
      </c>
      <c r="QC30" s="99">
        <v>40.307435272044998</v>
      </c>
      <c r="QD30" s="99">
        <v>40.379285178236401</v>
      </c>
      <c r="QE30" s="99">
        <v>40.451135084427797</v>
      </c>
      <c r="QF30" s="99">
        <v>40.5229849906192</v>
      </c>
      <c r="QG30" s="99">
        <v>40.594834896810497</v>
      </c>
      <c r="QH30" s="99">
        <v>40.6666848030019</v>
      </c>
      <c r="QI30" s="99">
        <v>40.738534709193303</v>
      </c>
      <c r="QJ30" s="99">
        <v>40.810384615384599</v>
      </c>
      <c r="QK30" s="99">
        <v>40.882234521576002</v>
      </c>
      <c r="QL30" s="99">
        <v>40.954084427767398</v>
      </c>
      <c r="QM30" s="99">
        <v>41.025934333958702</v>
      </c>
      <c r="QN30" s="99">
        <v>41.097784240150098</v>
      </c>
      <c r="QO30" s="99">
        <v>41.169634146341501</v>
      </c>
      <c r="QP30" s="99">
        <v>41.241484052532897</v>
      </c>
      <c r="QQ30" s="99">
        <v>41.313333958724201</v>
      </c>
      <c r="QR30" s="99">
        <v>41.385183864915597</v>
      </c>
      <c r="QS30" s="99">
        <v>41.457033771107</v>
      </c>
      <c r="QT30" s="99">
        <v>41.528883677298303</v>
      </c>
      <c r="QU30" s="99">
        <v>41.600733583489699</v>
      </c>
      <c r="QV30" s="99">
        <v>41.672583489681102</v>
      </c>
      <c r="QW30" s="99">
        <v>41.744433395872399</v>
      </c>
      <c r="QX30" s="99">
        <v>41.816283302063802</v>
      </c>
      <c r="QY30" s="99">
        <v>41.888133208255198</v>
      </c>
      <c r="QZ30" s="99">
        <v>41.959983114446601</v>
      </c>
      <c r="RA30" s="99">
        <v>42.031833020637897</v>
      </c>
      <c r="RB30" s="99">
        <v>42.1036829268293</v>
      </c>
      <c r="RC30" s="99">
        <v>42.175532833020704</v>
      </c>
      <c r="RD30" s="99">
        <v>42.247382739212</v>
      </c>
      <c r="RE30" s="99">
        <v>42.319232645403403</v>
      </c>
      <c r="RF30" s="99">
        <v>42.391082551594799</v>
      </c>
      <c r="RG30" s="99">
        <v>42.462932457786103</v>
      </c>
      <c r="RH30" s="99">
        <v>42.534782363977499</v>
      </c>
      <c r="RI30" s="99">
        <v>42.606632270168902</v>
      </c>
      <c r="RJ30" s="99">
        <v>42.678482176360198</v>
      </c>
      <c r="RK30" s="99">
        <v>42.750332082551601</v>
      </c>
      <c r="RL30" s="99">
        <v>42.822181988742997</v>
      </c>
      <c r="RM30" s="99">
        <v>42.8940318949344</v>
      </c>
      <c r="RN30" s="99">
        <v>42.965881801125697</v>
      </c>
      <c r="RO30" s="99">
        <v>43.0377317073171</v>
      </c>
      <c r="RP30" s="99">
        <v>43.109581613508503</v>
      </c>
      <c r="RQ30" s="99">
        <v>43.1814315196998</v>
      </c>
      <c r="RR30" s="99">
        <v>43.253281425891203</v>
      </c>
      <c r="RS30" s="99">
        <v>43.325131332082599</v>
      </c>
      <c r="RT30" s="99">
        <v>43.396981238273902</v>
      </c>
      <c r="RU30" s="99">
        <v>43.468831144465298</v>
      </c>
      <c r="RV30" s="99">
        <v>43.540681050656701</v>
      </c>
      <c r="RW30" s="99">
        <v>43.612530956847998</v>
      </c>
      <c r="RX30" s="99">
        <v>43.684380863039401</v>
      </c>
      <c r="RY30" s="99">
        <v>43.756230769230797</v>
      </c>
      <c r="RZ30" s="99">
        <v>43.8280806754222</v>
      </c>
      <c r="SA30" s="99">
        <v>43.899930581613503</v>
      </c>
      <c r="SB30" s="99">
        <v>43.971780487804899</v>
      </c>
      <c r="SC30" s="99">
        <v>44.043630393996303</v>
      </c>
      <c r="SD30" s="99">
        <v>44.115480300187599</v>
      </c>
      <c r="SE30" s="99">
        <v>44.187330206379002</v>
      </c>
      <c r="SF30" s="99">
        <v>44.259180112570398</v>
      </c>
      <c r="SG30" s="99">
        <v>44.331030018761702</v>
      </c>
      <c r="SH30" s="99">
        <v>44.402879924953098</v>
      </c>
      <c r="SI30" s="99">
        <v>44.474729831144501</v>
      </c>
      <c r="SJ30" s="99">
        <v>44.546579737335897</v>
      </c>
      <c r="SK30" s="99">
        <v>44.6184296435272</v>
      </c>
      <c r="SL30" s="99">
        <v>44.690279549718603</v>
      </c>
      <c r="SM30" s="99">
        <v>44.762129455909999</v>
      </c>
      <c r="SN30" s="99">
        <v>44.833979362101303</v>
      </c>
      <c r="SO30" s="99">
        <v>44.905829268292699</v>
      </c>
      <c r="SP30" s="99">
        <v>44.977679174484102</v>
      </c>
      <c r="SQ30" s="99">
        <v>45.049529080675399</v>
      </c>
      <c r="SR30" s="99">
        <v>45.121378986866802</v>
      </c>
      <c r="SS30" s="99">
        <v>45.193228893058198</v>
      </c>
      <c r="ST30" s="99">
        <v>45.265078799249601</v>
      </c>
      <c r="SU30" s="99">
        <v>45.336928705440897</v>
      </c>
      <c r="SV30" s="99">
        <v>45.4087786116323</v>
      </c>
      <c r="SW30" s="99">
        <v>45.480628517823703</v>
      </c>
      <c r="SX30" s="99">
        <v>45.552478424015</v>
      </c>
      <c r="SY30" s="99">
        <v>45.624328330206403</v>
      </c>
      <c r="SZ30" s="99">
        <v>45.696178236397799</v>
      </c>
      <c r="TA30" s="99">
        <v>45.768028142589102</v>
      </c>
      <c r="TB30" s="99">
        <v>45.839878048780498</v>
      </c>
      <c r="TC30" s="99">
        <v>45.911727954971902</v>
      </c>
      <c r="TD30" s="99">
        <v>45.983577861163198</v>
      </c>
      <c r="TE30" s="99">
        <v>46.055427767354601</v>
      </c>
      <c r="TF30" s="99">
        <v>46.127277673545997</v>
      </c>
      <c r="TG30" s="99">
        <v>46.1991275797374</v>
      </c>
      <c r="TH30" s="99">
        <v>46.270977485928697</v>
      </c>
      <c r="TI30" s="99">
        <v>46.3428273921201</v>
      </c>
      <c r="TJ30" s="99">
        <v>46.414677298311503</v>
      </c>
      <c r="TK30" s="99">
        <v>46.486527204502799</v>
      </c>
      <c r="TL30" s="99">
        <v>46.558377110694202</v>
      </c>
      <c r="TM30" s="99">
        <v>46.630227016885598</v>
      </c>
      <c r="TN30" s="99">
        <v>46.702076923076902</v>
      </c>
      <c r="TO30" s="99">
        <v>46.773926829268298</v>
      </c>
      <c r="TP30" s="99">
        <v>46.845776735459701</v>
      </c>
      <c r="TQ30" s="99">
        <v>46.917626641651097</v>
      </c>
      <c r="TR30" s="99">
        <v>46.989476547842401</v>
      </c>
      <c r="TS30" s="99">
        <v>47.061326454033797</v>
      </c>
      <c r="TT30" s="99">
        <v>47.1331763602252</v>
      </c>
      <c r="TU30" s="99">
        <v>47.205026266416503</v>
      </c>
      <c r="TV30" s="99">
        <v>47.276876172607899</v>
      </c>
      <c r="TW30" s="99">
        <v>47.348726078799302</v>
      </c>
      <c r="TX30" s="99">
        <v>47.420575984990599</v>
      </c>
      <c r="TY30" s="99">
        <v>47.492425891182002</v>
      </c>
      <c r="TZ30" s="99">
        <v>47.564275797373398</v>
      </c>
      <c r="UA30" s="99">
        <v>47.636125703564801</v>
      </c>
      <c r="UB30" s="99">
        <v>47.707975609756097</v>
      </c>
      <c r="UC30" s="99">
        <v>47.7798255159475</v>
      </c>
      <c r="UD30" s="99">
        <v>47.851675422138896</v>
      </c>
      <c r="UE30" s="99">
        <v>47.9235253283302</v>
      </c>
      <c r="UF30" s="99">
        <v>47.995375234521603</v>
      </c>
      <c r="UG30" s="99">
        <v>48.067225140712999</v>
      </c>
      <c r="UH30" s="99">
        <v>48.139075046904303</v>
      </c>
      <c r="UI30" s="99">
        <v>48.210924953095699</v>
      </c>
      <c r="UJ30" s="99">
        <v>48.282774859287102</v>
      </c>
      <c r="UK30" s="99">
        <v>48.354624765478398</v>
      </c>
      <c r="UL30" s="99">
        <v>48.426474671669801</v>
      </c>
      <c r="UM30" s="99">
        <v>48.498324577861197</v>
      </c>
      <c r="UN30" s="99">
        <v>48.5701744840526</v>
      </c>
      <c r="UO30" s="99">
        <v>48.642024390243897</v>
      </c>
      <c r="UP30" s="99">
        <v>48.7138742964353</v>
      </c>
      <c r="UQ30" s="99">
        <v>48.785724202626703</v>
      </c>
      <c r="UR30" s="99">
        <v>48.857574108818</v>
      </c>
      <c r="US30" s="99">
        <v>48.929424015009403</v>
      </c>
      <c r="UT30" s="99">
        <v>49.001273921200799</v>
      </c>
    </row>
    <row r="31" spans="1:566" x14ac:dyDescent="0.2">
      <c r="A31" s="89">
        <v>12.5</v>
      </c>
      <c r="B31" s="90">
        <v>8.3800000000000008</v>
      </c>
      <c r="C31" s="90">
        <v>8.4499999999999993</v>
      </c>
      <c r="D31" s="90">
        <v>8.52</v>
      </c>
      <c r="E31" s="90">
        <v>8.59</v>
      </c>
      <c r="F31" s="90">
        <v>8.67</v>
      </c>
      <c r="G31" s="90">
        <v>8.74</v>
      </c>
      <c r="H31" s="90">
        <v>8.81</v>
      </c>
      <c r="I31" s="90">
        <v>8.8800000000000008</v>
      </c>
      <c r="J31" s="90">
        <v>8.9499999999999993</v>
      </c>
      <c r="K31" s="90">
        <v>9.02</v>
      </c>
      <c r="L31" s="90">
        <v>9.09</v>
      </c>
      <c r="M31" s="90">
        <v>9.16</v>
      </c>
      <c r="N31" s="90">
        <v>9.23</v>
      </c>
      <c r="O31" s="90">
        <v>9.31</v>
      </c>
      <c r="P31" s="90">
        <v>9.3800000000000008</v>
      </c>
      <c r="Q31" s="90">
        <v>9.4499999999999993</v>
      </c>
      <c r="R31" s="90">
        <v>9.52</v>
      </c>
      <c r="S31" s="90">
        <v>9.59</v>
      </c>
      <c r="T31" s="90">
        <v>9.66</v>
      </c>
      <c r="U31" s="91">
        <v>9.73</v>
      </c>
      <c r="V31" s="90">
        <v>9.8000000000000007</v>
      </c>
      <c r="W31" s="90">
        <v>9.8699999999999992</v>
      </c>
      <c r="X31" s="90">
        <v>9.94</v>
      </c>
      <c r="Y31" s="90">
        <v>10.02</v>
      </c>
      <c r="Z31" s="90">
        <v>10.09</v>
      </c>
      <c r="AA31" s="90">
        <v>10.16</v>
      </c>
      <c r="AB31" s="90">
        <v>10.23</v>
      </c>
      <c r="AC31" s="90">
        <v>10.3</v>
      </c>
      <c r="AD31" s="90">
        <v>10.37</v>
      </c>
      <c r="AE31" s="90">
        <v>10.44</v>
      </c>
      <c r="AF31" s="90">
        <v>10.51</v>
      </c>
      <c r="AG31" s="90">
        <v>10.58</v>
      </c>
      <c r="AH31" s="90">
        <v>10.66</v>
      </c>
      <c r="AI31" s="90">
        <v>10.73</v>
      </c>
      <c r="AJ31" s="90">
        <v>10.8</v>
      </c>
      <c r="AK31" s="90">
        <v>10.87</v>
      </c>
      <c r="AL31" s="90">
        <v>10.94</v>
      </c>
      <c r="AM31" s="90">
        <v>11.01</v>
      </c>
      <c r="AN31" s="90">
        <v>11.08</v>
      </c>
      <c r="AO31" s="91">
        <v>11.15</v>
      </c>
      <c r="AP31" s="90">
        <v>11.2239615384615</v>
      </c>
      <c r="AQ31" s="90">
        <v>11.295032833020599</v>
      </c>
      <c r="AR31" s="90">
        <v>11.3661041275797</v>
      </c>
      <c r="AS31" s="90">
        <v>11.4371754221388</v>
      </c>
      <c r="AT31" s="90">
        <v>11.508246716697901</v>
      </c>
      <c r="AU31" s="90">
        <v>11.579318011257</v>
      </c>
      <c r="AV31" s="90">
        <v>11.6503893058161</v>
      </c>
      <c r="AW31" s="90">
        <v>11.721460600375201</v>
      </c>
      <c r="AX31" s="90">
        <v>11.792531894934299</v>
      </c>
      <c r="AY31" s="90">
        <v>11.8636031894934</v>
      </c>
      <c r="AZ31" s="90">
        <v>11.934674484052501</v>
      </c>
      <c r="BA31" s="90">
        <v>12.005745778611599</v>
      </c>
      <c r="BB31" s="90">
        <v>12.0768170731707</v>
      </c>
      <c r="BC31" s="90">
        <v>12.1478883677298</v>
      </c>
      <c r="BD31" s="90">
        <v>12.218959662288899</v>
      </c>
      <c r="BE31" s="90">
        <v>12.290030956848</v>
      </c>
      <c r="BF31" s="90">
        <v>12.3611022514071</v>
      </c>
      <c r="BG31" s="90">
        <v>12.432173545966201</v>
      </c>
      <c r="BH31" s="90">
        <v>12.5032448405253</v>
      </c>
      <c r="BI31" s="91">
        <v>12.5743161350844</v>
      </c>
      <c r="BJ31" s="90">
        <v>12.645387429643501</v>
      </c>
      <c r="BK31" s="99">
        <v>12.716458724202599</v>
      </c>
      <c r="BL31" s="99">
        <v>12.7875300187617</v>
      </c>
      <c r="BM31" s="99">
        <v>12.858601313320801</v>
      </c>
      <c r="BN31" s="99">
        <v>12.929672607879899</v>
      </c>
      <c r="BO31" s="99">
        <v>13.000743902439</v>
      </c>
      <c r="BP31" s="99">
        <v>13.0718151969981</v>
      </c>
      <c r="BQ31" s="99">
        <v>13.142886491557199</v>
      </c>
      <c r="BR31" s="99">
        <v>13.2139577861163</v>
      </c>
      <c r="BS31" s="99">
        <v>13.2850290806754</v>
      </c>
      <c r="BT31" s="99">
        <v>13.356100375234501</v>
      </c>
      <c r="BU31" s="99">
        <v>13.4271716697936</v>
      </c>
      <c r="BV31" s="99">
        <v>13.4982429643527</v>
      </c>
      <c r="BW31" s="99">
        <v>13.569314258911801</v>
      </c>
      <c r="BX31" s="99">
        <v>13.6403855534709</v>
      </c>
      <c r="BY31" s="99">
        <v>13.71145684803</v>
      </c>
      <c r="BZ31" s="99">
        <v>13.782528142589101</v>
      </c>
      <c r="CA31" s="99">
        <v>13.853599437148199</v>
      </c>
      <c r="CB31" s="99">
        <v>13.9246707317073</v>
      </c>
      <c r="CC31" s="99">
        <v>13.995742026266401</v>
      </c>
      <c r="CD31" s="99">
        <v>14.066813320825499</v>
      </c>
      <c r="CE31" s="99">
        <v>14.1378846153846</v>
      </c>
      <c r="CF31" s="99">
        <v>14.2089559099437</v>
      </c>
      <c r="CG31" s="99">
        <v>14.280027204502799</v>
      </c>
      <c r="CH31" s="99">
        <v>14.3510984990619</v>
      </c>
      <c r="CI31" s="99">
        <v>14.422169793621</v>
      </c>
      <c r="CJ31" s="99">
        <v>14.493241088180101</v>
      </c>
      <c r="CK31" s="99">
        <v>14.5643123827392</v>
      </c>
      <c r="CL31" s="99">
        <v>14.6353836772983</v>
      </c>
      <c r="CM31" s="99">
        <v>14.706454971857401</v>
      </c>
      <c r="CN31" s="99">
        <v>14.777526266416499</v>
      </c>
      <c r="CO31" s="99">
        <v>14.8485975609756</v>
      </c>
      <c r="CP31" s="99">
        <v>14.919668855534701</v>
      </c>
      <c r="CQ31" s="99">
        <v>14.990740150093799</v>
      </c>
      <c r="CR31" s="99">
        <v>15.0618114446529</v>
      </c>
      <c r="CS31" s="99">
        <v>15.132882739212</v>
      </c>
      <c r="CT31" s="99">
        <v>15.203954033771099</v>
      </c>
      <c r="CU31" s="99">
        <v>15.2750253283302</v>
      </c>
      <c r="CV31" s="99">
        <v>15.3460966228893</v>
      </c>
      <c r="CW31" s="99">
        <v>15.417167917448401</v>
      </c>
      <c r="CX31" s="99">
        <v>15.4882392120075</v>
      </c>
      <c r="CY31" s="99">
        <v>15.5593105065666</v>
      </c>
      <c r="CZ31" s="99">
        <v>15.630381801125701</v>
      </c>
      <c r="DA31" s="99">
        <v>15.7014530956848</v>
      </c>
      <c r="DB31" s="99">
        <v>15.7725243902439</v>
      </c>
      <c r="DC31" s="99">
        <v>15.843595684803001</v>
      </c>
      <c r="DD31" s="99">
        <v>15.914666979362099</v>
      </c>
      <c r="DE31" s="99">
        <v>15.9857382739212</v>
      </c>
      <c r="DF31" s="99">
        <v>16.0568095684803</v>
      </c>
      <c r="DG31" s="99">
        <v>16.127880863039401</v>
      </c>
      <c r="DH31" s="99">
        <v>16.198952157598502</v>
      </c>
      <c r="DI31" s="99">
        <v>16.270023452157599</v>
      </c>
      <c r="DJ31" s="99">
        <v>16.341094746716699</v>
      </c>
      <c r="DK31" s="99">
        <v>16.4121660412758</v>
      </c>
      <c r="DL31" s="99">
        <v>16.4832373358349</v>
      </c>
      <c r="DM31" s="99">
        <v>16.554308630394001</v>
      </c>
      <c r="DN31" s="99">
        <v>16.625379924953101</v>
      </c>
      <c r="DO31" s="99">
        <v>16.696451219512198</v>
      </c>
      <c r="DP31" s="99">
        <v>16.767522514071299</v>
      </c>
      <c r="DQ31" s="99">
        <v>16.838593808630399</v>
      </c>
      <c r="DR31" s="99">
        <v>16.9096651031895</v>
      </c>
      <c r="DS31" s="99">
        <v>16.980736397748601</v>
      </c>
      <c r="DT31" s="99">
        <v>17.051807692307701</v>
      </c>
      <c r="DU31" s="99">
        <v>17.122878986866802</v>
      </c>
      <c r="DV31" s="99">
        <v>17.193950281425899</v>
      </c>
      <c r="DW31" s="99">
        <v>17.265021575984999</v>
      </c>
      <c r="DX31" s="99">
        <v>17.3360928705441</v>
      </c>
      <c r="DY31" s="99">
        <v>17.4071641651032</v>
      </c>
      <c r="DZ31" s="99">
        <v>17.478235459662301</v>
      </c>
      <c r="EA31" s="99">
        <v>17.549306754221401</v>
      </c>
      <c r="EB31" s="99">
        <v>17.620378048780498</v>
      </c>
      <c r="EC31" s="99">
        <v>17.691449343339599</v>
      </c>
      <c r="ED31" s="99">
        <v>17.7625206378987</v>
      </c>
      <c r="EE31" s="99">
        <v>17.8335919324578</v>
      </c>
      <c r="EF31" s="99">
        <v>17.904663227016901</v>
      </c>
      <c r="EG31" s="99">
        <v>17.975734521576001</v>
      </c>
      <c r="EH31" s="99">
        <v>18.046805816135102</v>
      </c>
      <c r="EI31" s="99">
        <v>18.117877110694199</v>
      </c>
      <c r="EJ31" s="99">
        <v>18.188948405253299</v>
      </c>
      <c r="EK31" s="99">
        <v>18.2600196998124</v>
      </c>
      <c r="EL31" s="99">
        <v>18.3310909943715</v>
      </c>
      <c r="EM31" s="99">
        <v>18.402162288930601</v>
      </c>
      <c r="EN31" s="99">
        <v>18.473233583489701</v>
      </c>
      <c r="EO31" s="99">
        <v>18.544304878048798</v>
      </c>
      <c r="EP31" s="99">
        <v>18.615376172607899</v>
      </c>
      <c r="EQ31" s="99">
        <v>18.686447467167</v>
      </c>
      <c r="ER31" s="99">
        <v>18.7575187617261</v>
      </c>
      <c r="ES31" s="99">
        <v>18.828590056285201</v>
      </c>
      <c r="ET31" s="99">
        <v>18.899661350844301</v>
      </c>
      <c r="EU31" s="99">
        <v>18.970732645403402</v>
      </c>
      <c r="EV31" s="99">
        <v>19.041803939962499</v>
      </c>
      <c r="EW31" s="99">
        <v>19.112875234521599</v>
      </c>
      <c r="EX31" s="99">
        <v>19.1839465290807</v>
      </c>
      <c r="EY31" s="99">
        <v>19.2550178236398</v>
      </c>
      <c r="EZ31" s="99">
        <v>19.326089118198901</v>
      </c>
      <c r="FA31" s="99">
        <v>19.397160412758002</v>
      </c>
      <c r="FB31" s="99">
        <v>19.468231707317099</v>
      </c>
      <c r="FC31" s="99">
        <v>19.539303001876199</v>
      </c>
      <c r="FD31" s="99">
        <v>19.6103742964353</v>
      </c>
      <c r="FE31" s="99">
        <v>19.6814455909944</v>
      </c>
      <c r="FF31" s="99">
        <v>19.752516885553501</v>
      </c>
      <c r="FG31" s="99">
        <v>19.823588180112601</v>
      </c>
      <c r="FH31" s="99">
        <v>19.894659474671698</v>
      </c>
      <c r="FI31" s="99">
        <v>19.965730769230799</v>
      </c>
      <c r="FJ31" s="99">
        <v>20.036802063789899</v>
      </c>
      <c r="FK31" s="99">
        <v>20.107873358349</v>
      </c>
      <c r="FL31" s="99">
        <v>20.1789446529081</v>
      </c>
      <c r="FM31" s="99">
        <v>20.250015947467201</v>
      </c>
      <c r="FN31" s="99">
        <v>20.321087242026302</v>
      </c>
      <c r="FO31" s="99">
        <v>20.392158536585399</v>
      </c>
      <c r="FP31" s="99">
        <v>20.463229831144499</v>
      </c>
      <c r="FQ31" s="99">
        <v>20.5343011257036</v>
      </c>
      <c r="FR31" s="99">
        <v>20.6053724202627</v>
      </c>
      <c r="FS31" s="99">
        <v>20.676443714821801</v>
      </c>
      <c r="FT31" s="99">
        <v>20.747515009380901</v>
      </c>
      <c r="FU31" s="99">
        <v>20.818586303939998</v>
      </c>
      <c r="FV31" s="99">
        <v>20.889657598499099</v>
      </c>
      <c r="FW31" s="99">
        <v>20.960728893058199</v>
      </c>
      <c r="FX31" s="99">
        <v>21.0318001876173</v>
      </c>
      <c r="FY31" s="99">
        <v>21.102871482176401</v>
      </c>
      <c r="FZ31" s="99">
        <v>21.173942776735501</v>
      </c>
      <c r="GA31" s="99">
        <v>21.245014071294602</v>
      </c>
      <c r="GB31" s="99">
        <v>21.316085365853699</v>
      </c>
      <c r="GC31" s="99">
        <v>21.387156660412799</v>
      </c>
      <c r="GD31" s="99">
        <v>21.4582279549719</v>
      </c>
      <c r="GE31" s="99">
        <v>21.529299249531</v>
      </c>
      <c r="GF31" s="99">
        <v>21.600370544090101</v>
      </c>
      <c r="GG31" s="99">
        <v>21.671441838649201</v>
      </c>
      <c r="GH31" s="99">
        <v>21.742513133208298</v>
      </c>
      <c r="GI31" s="99">
        <v>21.813584427767399</v>
      </c>
      <c r="GJ31" s="99">
        <v>21.884655722326499</v>
      </c>
      <c r="GK31" s="99">
        <v>21.9557270168856</v>
      </c>
      <c r="GL31" s="99">
        <v>22.026798311444701</v>
      </c>
      <c r="GM31" s="99">
        <v>22.097869606003801</v>
      </c>
      <c r="GN31" s="99">
        <v>22.168940900562902</v>
      </c>
      <c r="GO31" s="99">
        <v>22.240012195121999</v>
      </c>
      <c r="GP31" s="99">
        <v>22.311083489681099</v>
      </c>
      <c r="GQ31" s="99">
        <v>22.3821547842402</v>
      </c>
      <c r="GR31" s="99">
        <v>22.4532260787993</v>
      </c>
      <c r="GS31" s="99">
        <v>22.524297373358401</v>
      </c>
      <c r="GT31" s="99">
        <v>22.595368667917501</v>
      </c>
      <c r="GU31" s="99">
        <v>22.666439962476598</v>
      </c>
      <c r="GV31" s="99">
        <v>22.737511257035699</v>
      </c>
      <c r="GW31" s="99">
        <v>22.8085825515948</v>
      </c>
      <c r="GX31" s="99">
        <v>22.8796538461539</v>
      </c>
      <c r="GY31" s="99">
        <v>22.950725140713001</v>
      </c>
      <c r="GZ31" s="99">
        <v>23.021796435272101</v>
      </c>
      <c r="HA31" s="99">
        <v>23.092867729831202</v>
      </c>
      <c r="HB31" s="99">
        <v>23.163939024390299</v>
      </c>
      <c r="HC31" s="99">
        <v>23.235010318949399</v>
      </c>
      <c r="HD31" s="99">
        <v>23.3060816135085</v>
      </c>
      <c r="HE31" s="99">
        <v>23.3771529080676</v>
      </c>
      <c r="HF31" s="99">
        <v>23.448224202626701</v>
      </c>
      <c r="HG31" s="99">
        <v>23.519295497185801</v>
      </c>
      <c r="HH31" s="99">
        <v>23.590366791744898</v>
      </c>
      <c r="HI31" s="99">
        <v>23.661438086303999</v>
      </c>
      <c r="HJ31" s="99">
        <v>23.7325093808631</v>
      </c>
      <c r="HK31" s="99">
        <v>23.8035806754222</v>
      </c>
      <c r="HL31" s="99">
        <v>23.874651969981301</v>
      </c>
      <c r="HM31" s="99">
        <v>23.945723264540401</v>
      </c>
      <c r="HN31" s="99">
        <v>24.016794559099498</v>
      </c>
      <c r="HO31" s="99">
        <v>24.087865853658599</v>
      </c>
      <c r="HP31" s="99">
        <v>24.158937148217699</v>
      </c>
      <c r="HQ31" s="99">
        <v>24.2300084427768</v>
      </c>
      <c r="HR31" s="99">
        <v>24.3010797373359</v>
      </c>
      <c r="HS31" s="99">
        <v>24.372151031895001</v>
      </c>
      <c r="HT31" s="99">
        <v>24.443222326454102</v>
      </c>
      <c r="HU31" s="99">
        <v>24.514293621013199</v>
      </c>
      <c r="HV31" s="99">
        <v>24.585364915572299</v>
      </c>
      <c r="HW31" s="99">
        <v>24.6564362101314</v>
      </c>
      <c r="HX31" s="99">
        <v>24.7275075046905</v>
      </c>
      <c r="HY31" s="99">
        <v>24.798578799249601</v>
      </c>
      <c r="HZ31" s="99">
        <v>24.869650093808701</v>
      </c>
      <c r="IA31" s="99">
        <v>24.940721388367798</v>
      </c>
      <c r="IB31" s="99">
        <v>25.011792682926899</v>
      </c>
      <c r="IC31" s="99">
        <v>25.082863977485999</v>
      </c>
      <c r="ID31" s="99">
        <v>25.1539352720451</v>
      </c>
      <c r="IE31" s="99">
        <v>25.2250065666042</v>
      </c>
      <c r="IF31" s="99">
        <v>25.296077861163301</v>
      </c>
      <c r="IG31" s="99">
        <v>25.367149155722402</v>
      </c>
      <c r="IH31" s="99">
        <v>25.438220450281499</v>
      </c>
      <c r="II31" s="99">
        <v>25.509291744840599</v>
      </c>
      <c r="IJ31" s="99">
        <v>25.5803630393997</v>
      </c>
      <c r="IK31" s="99">
        <v>25.6514343339588</v>
      </c>
      <c r="IL31" s="99">
        <v>25.722505628517901</v>
      </c>
      <c r="IM31" s="99">
        <v>25.793576923077001</v>
      </c>
      <c r="IN31" s="99">
        <v>25.864648217636098</v>
      </c>
      <c r="IO31" s="99">
        <v>25.935719512195199</v>
      </c>
      <c r="IP31" s="99">
        <v>26.006790806754299</v>
      </c>
      <c r="IQ31" s="99">
        <v>26.0778621013134</v>
      </c>
      <c r="IR31" s="99">
        <v>26.148933395872501</v>
      </c>
      <c r="IS31" s="99">
        <v>26.220004690431601</v>
      </c>
      <c r="IT31" s="99">
        <v>26.291075984990702</v>
      </c>
      <c r="IU31" s="99">
        <v>26.362147279549799</v>
      </c>
      <c r="IV31" s="99">
        <v>26.433218574108899</v>
      </c>
      <c r="IW31" s="99">
        <v>26.504289868668</v>
      </c>
      <c r="IX31" s="99">
        <v>26.5753611632271</v>
      </c>
      <c r="IY31" s="99">
        <v>26.646432457786201</v>
      </c>
      <c r="IZ31" s="99">
        <v>26.717503752345301</v>
      </c>
      <c r="JA31" s="99">
        <v>26.788575046904398</v>
      </c>
      <c r="JB31" s="99">
        <v>26.859646341463499</v>
      </c>
      <c r="JC31" s="99">
        <v>26.930717636022599</v>
      </c>
      <c r="JD31" s="99">
        <v>27.0017889305817</v>
      </c>
      <c r="JE31" s="99">
        <v>27.072860225140801</v>
      </c>
      <c r="JF31" s="99">
        <v>27.143931519699901</v>
      </c>
      <c r="JG31" s="99">
        <v>27.215002814259002</v>
      </c>
      <c r="JH31" s="99">
        <v>27.286074108818099</v>
      </c>
      <c r="JI31" s="99">
        <v>27.357145403377199</v>
      </c>
      <c r="JJ31" s="99">
        <v>27.4282166979362</v>
      </c>
      <c r="JK31" s="99">
        <v>27.499287992495301</v>
      </c>
      <c r="JL31" s="99">
        <v>27.570359287054501</v>
      </c>
      <c r="JM31" s="99">
        <v>27.641430581613498</v>
      </c>
      <c r="JN31" s="99">
        <v>27.712501876172599</v>
      </c>
      <c r="JO31" s="99">
        <v>27.7835731707317</v>
      </c>
      <c r="JP31" s="99">
        <v>27.8546444652908</v>
      </c>
      <c r="JQ31" s="99">
        <v>27.925715759849901</v>
      </c>
      <c r="JR31" s="99">
        <v>27.996787054409001</v>
      </c>
      <c r="JS31" s="99">
        <v>28.067858348968102</v>
      </c>
      <c r="JT31" s="99">
        <v>28.138929643527199</v>
      </c>
      <c r="JU31" s="99">
        <v>28.210000938086299</v>
      </c>
      <c r="JV31" s="99">
        <v>28.2810722326454</v>
      </c>
      <c r="JW31" s="99">
        <v>28.3521435272045</v>
      </c>
      <c r="JX31" s="99">
        <v>28.423214821763601</v>
      </c>
      <c r="JY31" s="99">
        <v>28.494286116322701</v>
      </c>
      <c r="JZ31" s="99">
        <v>28.565357410881798</v>
      </c>
      <c r="KA31" s="99">
        <v>28.636428705440899</v>
      </c>
      <c r="KB31" s="99">
        <v>28.7075</v>
      </c>
      <c r="KC31" s="99">
        <v>28.7785712945591</v>
      </c>
      <c r="KD31" s="99">
        <v>28.849642589118201</v>
      </c>
      <c r="KE31" s="99">
        <v>28.920713883677301</v>
      </c>
      <c r="KF31" s="99">
        <v>28.991785178236398</v>
      </c>
      <c r="KG31" s="99">
        <v>29.062856472795499</v>
      </c>
      <c r="KH31" s="99">
        <v>29.133927767354599</v>
      </c>
      <c r="KI31" s="99">
        <v>29.2049990619137</v>
      </c>
      <c r="KJ31" s="99">
        <v>29.2760703564728</v>
      </c>
      <c r="KK31" s="99">
        <v>29.347141651031901</v>
      </c>
      <c r="KL31" s="99">
        <v>29.418212945591002</v>
      </c>
      <c r="KM31" s="99">
        <v>29.489284240150099</v>
      </c>
      <c r="KN31" s="99">
        <v>29.560355534709199</v>
      </c>
      <c r="KO31" s="99">
        <v>29.6314268292683</v>
      </c>
      <c r="KP31" s="99">
        <v>29.7024981238274</v>
      </c>
      <c r="KQ31" s="99">
        <v>29.773569418386501</v>
      </c>
      <c r="KR31" s="99">
        <v>29.844640712945601</v>
      </c>
      <c r="KS31" s="99">
        <v>29.915712007504698</v>
      </c>
      <c r="KT31" s="99">
        <v>29.986783302063799</v>
      </c>
      <c r="KU31" s="99">
        <v>30.057854596622899</v>
      </c>
      <c r="KV31" s="99">
        <v>30.128925891182</v>
      </c>
      <c r="KW31" s="99">
        <v>30.1999971857411</v>
      </c>
      <c r="KX31" s="99">
        <v>30.271068480300201</v>
      </c>
      <c r="KY31" s="99">
        <v>30.342139774859302</v>
      </c>
      <c r="KZ31" s="99">
        <v>30.413211069418399</v>
      </c>
      <c r="LA31" s="99">
        <v>30.484282363977499</v>
      </c>
      <c r="LB31" s="99">
        <v>30.5553536585366</v>
      </c>
      <c r="LC31" s="99">
        <v>30.6264249530957</v>
      </c>
      <c r="LD31" s="99">
        <v>30.697496247654801</v>
      </c>
      <c r="LE31" s="99">
        <v>30.768567542213901</v>
      </c>
      <c r="LF31" s="99">
        <v>30.839638836772998</v>
      </c>
      <c r="LG31" s="99">
        <v>30.910710131332099</v>
      </c>
      <c r="LH31" s="99">
        <v>30.981781425891199</v>
      </c>
      <c r="LI31" s="99">
        <v>31.0528527204503</v>
      </c>
      <c r="LJ31" s="99">
        <v>31.123924015009401</v>
      </c>
      <c r="LK31" s="99">
        <v>31.194995309568501</v>
      </c>
      <c r="LL31" s="99">
        <v>31.266066604127602</v>
      </c>
      <c r="LM31" s="99">
        <v>31.337137898686699</v>
      </c>
      <c r="LN31" s="99">
        <v>31.408209193245799</v>
      </c>
      <c r="LO31" s="99">
        <v>31.4792804878049</v>
      </c>
      <c r="LP31" s="99">
        <v>31.550351782364</v>
      </c>
      <c r="LQ31" s="99">
        <v>31.621423076923101</v>
      </c>
      <c r="LR31" s="99">
        <v>31.692494371482201</v>
      </c>
      <c r="LS31" s="99">
        <v>31.763565666041298</v>
      </c>
      <c r="LT31" s="99">
        <v>31.834636960600399</v>
      </c>
      <c r="LU31" s="99">
        <v>31.905708255159499</v>
      </c>
      <c r="LV31" s="99">
        <v>31.9767795497186</v>
      </c>
      <c r="LW31" s="99">
        <v>32.047850844277697</v>
      </c>
      <c r="LX31" s="99">
        <v>32.118922138836801</v>
      </c>
      <c r="LY31" s="99">
        <v>32.189993433395898</v>
      </c>
      <c r="LZ31" s="99">
        <v>32.261064727955002</v>
      </c>
      <c r="MA31" s="99">
        <v>32.332136022514099</v>
      </c>
      <c r="MB31" s="99">
        <v>32.403207317073203</v>
      </c>
      <c r="MC31" s="99">
        <v>32.4742786116323</v>
      </c>
      <c r="MD31" s="99">
        <v>32.545349906191397</v>
      </c>
      <c r="ME31" s="99">
        <v>32.616421200750501</v>
      </c>
      <c r="MF31" s="99">
        <v>32.687492495309598</v>
      </c>
      <c r="MG31" s="99">
        <v>32.758563789868703</v>
      </c>
      <c r="MH31" s="99">
        <v>32.8296350844278</v>
      </c>
      <c r="MI31" s="99">
        <v>32.900706378986897</v>
      </c>
      <c r="MJ31" s="99">
        <v>32.971777673546001</v>
      </c>
      <c r="MK31" s="99">
        <v>33.042848968105098</v>
      </c>
      <c r="ML31" s="99">
        <v>33.113920262664202</v>
      </c>
      <c r="MM31" s="99">
        <v>33.184991557223299</v>
      </c>
      <c r="MN31" s="99">
        <v>33.256062851782403</v>
      </c>
      <c r="MO31" s="99">
        <v>33.3271341463415</v>
      </c>
      <c r="MP31" s="99">
        <v>33.398205440900597</v>
      </c>
      <c r="MQ31" s="99">
        <v>33.469276735459701</v>
      </c>
      <c r="MR31" s="99">
        <v>33.540348030018798</v>
      </c>
      <c r="MS31" s="99">
        <v>33.611419324577902</v>
      </c>
      <c r="MT31" s="99">
        <v>33.682490619136999</v>
      </c>
      <c r="MU31" s="99">
        <v>33.753561913696103</v>
      </c>
      <c r="MV31" s="99">
        <v>33.8246332082552</v>
      </c>
      <c r="MW31" s="99">
        <v>33.895704502814297</v>
      </c>
      <c r="MX31" s="99">
        <v>33.966775797373401</v>
      </c>
      <c r="MY31" s="99">
        <v>34.037847091932498</v>
      </c>
      <c r="MZ31" s="99">
        <v>34.108918386491602</v>
      </c>
      <c r="NA31" s="99">
        <v>34.179989681050699</v>
      </c>
      <c r="NB31" s="99">
        <v>34.251060975609803</v>
      </c>
      <c r="NC31" s="99">
        <v>34.3221322701689</v>
      </c>
      <c r="ND31" s="99">
        <v>34.393203564727997</v>
      </c>
      <c r="NE31" s="99">
        <v>34.464274859287102</v>
      </c>
      <c r="NF31" s="99">
        <v>34.535346153846199</v>
      </c>
      <c r="NG31" s="99">
        <v>34.606417448405303</v>
      </c>
      <c r="NH31" s="99">
        <v>34.6774887429644</v>
      </c>
      <c r="NI31" s="99">
        <v>34.748560037523497</v>
      </c>
      <c r="NJ31" s="99">
        <v>34.819631332082601</v>
      </c>
      <c r="NK31" s="99">
        <v>34.890702626641698</v>
      </c>
      <c r="NL31" s="99">
        <v>34.961773921200802</v>
      </c>
      <c r="NM31" s="99">
        <v>35.032845215759899</v>
      </c>
      <c r="NN31" s="99">
        <v>35.103916510319003</v>
      </c>
      <c r="NO31" s="99">
        <v>35.1749878048781</v>
      </c>
      <c r="NP31" s="99">
        <v>35.246059099437197</v>
      </c>
      <c r="NQ31" s="99">
        <v>35.317130393996301</v>
      </c>
      <c r="NR31" s="99">
        <v>35.388201688555398</v>
      </c>
      <c r="NS31" s="99">
        <v>35.459272983114502</v>
      </c>
      <c r="NT31" s="99">
        <v>35.530344277673599</v>
      </c>
      <c r="NU31" s="99">
        <v>35.601415572232703</v>
      </c>
      <c r="NV31" s="99">
        <v>35.6724868667918</v>
      </c>
      <c r="NW31" s="99">
        <v>35.743558161350897</v>
      </c>
      <c r="NX31" s="99">
        <v>35.814629455910001</v>
      </c>
      <c r="NY31" s="99">
        <v>35.885700750469098</v>
      </c>
      <c r="NZ31" s="99">
        <v>35.956772045028202</v>
      </c>
      <c r="OA31" s="99">
        <v>36.027843339587299</v>
      </c>
      <c r="OB31" s="99">
        <v>36.098914634146396</v>
      </c>
      <c r="OC31" s="99">
        <v>36.169985928705501</v>
      </c>
      <c r="OD31" s="99">
        <v>36.241057223264598</v>
      </c>
      <c r="OE31" s="99">
        <v>36.312128517823702</v>
      </c>
      <c r="OF31" s="99">
        <v>36.383199812382799</v>
      </c>
      <c r="OG31" s="99">
        <v>36.454271106941903</v>
      </c>
      <c r="OH31" s="99">
        <v>36.525342401501</v>
      </c>
      <c r="OI31" s="99">
        <v>36.596413696060097</v>
      </c>
      <c r="OJ31" s="99">
        <v>36.667484990619201</v>
      </c>
      <c r="OK31" s="99">
        <v>36.738556285178298</v>
      </c>
      <c r="OL31" s="99">
        <v>36.809627579737402</v>
      </c>
      <c r="OM31" s="99">
        <v>36.880698874296499</v>
      </c>
      <c r="ON31" s="99">
        <v>36.951770168855603</v>
      </c>
      <c r="OO31" s="99">
        <v>37.0228414634147</v>
      </c>
      <c r="OP31" s="99">
        <v>37.093912757973797</v>
      </c>
      <c r="OQ31" s="99">
        <v>37.164984052532901</v>
      </c>
      <c r="OR31" s="99">
        <v>37.236055347091998</v>
      </c>
      <c r="OS31" s="99">
        <v>37.307126641651102</v>
      </c>
      <c r="OT31" s="99">
        <v>37.378197936210199</v>
      </c>
      <c r="OU31" s="99">
        <v>37.449269230769303</v>
      </c>
      <c r="OV31" s="99">
        <v>37.5203405253284</v>
      </c>
      <c r="OW31" s="99">
        <v>37.591411819887497</v>
      </c>
      <c r="OX31" s="99">
        <v>37.662483114446601</v>
      </c>
      <c r="OY31" s="99">
        <v>37.733554409005698</v>
      </c>
      <c r="OZ31" s="99">
        <v>37.804625703564803</v>
      </c>
      <c r="PA31" s="99">
        <v>37.8756969981239</v>
      </c>
      <c r="PB31" s="99">
        <v>37.946768292682997</v>
      </c>
      <c r="PC31" s="99">
        <v>38.017839587242101</v>
      </c>
      <c r="PD31" s="99">
        <v>38.088910881801198</v>
      </c>
      <c r="PE31" s="99">
        <v>38.159982176360302</v>
      </c>
      <c r="PF31" s="99">
        <v>38.231053470919399</v>
      </c>
      <c r="PG31" s="99">
        <v>38.302124765478503</v>
      </c>
      <c r="PH31" s="99">
        <v>38.3731960600376</v>
      </c>
      <c r="PI31" s="99">
        <v>38.444267354596697</v>
      </c>
      <c r="PJ31" s="99">
        <v>38.515338649155801</v>
      </c>
      <c r="PK31" s="99">
        <v>38.586409943714898</v>
      </c>
      <c r="PL31" s="99">
        <v>38.657481238274002</v>
      </c>
      <c r="PM31" s="99">
        <v>38.728552532833099</v>
      </c>
      <c r="PN31" s="99">
        <v>38.799623827392203</v>
      </c>
      <c r="PO31" s="99">
        <v>38.8706951219513</v>
      </c>
      <c r="PP31" s="99">
        <v>38.941766416510397</v>
      </c>
      <c r="PQ31" s="99">
        <v>39.012837711069501</v>
      </c>
      <c r="PR31" s="99">
        <v>39.083909005628598</v>
      </c>
      <c r="PS31" s="99">
        <v>39.154980300187702</v>
      </c>
      <c r="PT31" s="99">
        <v>39.226051594746799</v>
      </c>
      <c r="PU31" s="99">
        <v>39.297122889305903</v>
      </c>
      <c r="PV31" s="99">
        <v>39.368194183865</v>
      </c>
      <c r="PW31" s="99">
        <v>39.439265478424097</v>
      </c>
      <c r="PX31" s="99">
        <v>39.510336772983202</v>
      </c>
      <c r="PY31" s="99">
        <v>39.581408067542299</v>
      </c>
      <c r="PZ31" s="99">
        <v>39.652479362101403</v>
      </c>
      <c r="QA31" s="99">
        <v>39.7235506566605</v>
      </c>
      <c r="QB31" s="99">
        <v>39.794621951219597</v>
      </c>
      <c r="QC31" s="99">
        <v>39.865693245778701</v>
      </c>
      <c r="QD31" s="99">
        <v>39.936764540337798</v>
      </c>
      <c r="QE31" s="99">
        <v>40.007835834896902</v>
      </c>
      <c r="QF31" s="99">
        <v>40.078907129455999</v>
      </c>
      <c r="QG31" s="99">
        <v>40.149978424015003</v>
      </c>
      <c r="QH31" s="99">
        <v>40.2210497185741</v>
      </c>
      <c r="QI31" s="99">
        <v>40.292121013133197</v>
      </c>
      <c r="QJ31" s="99">
        <v>40.363192307692302</v>
      </c>
      <c r="QK31" s="99">
        <v>40.434263602251399</v>
      </c>
      <c r="QL31" s="99">
        <v>40.505334896810503</v>
      </c>
      <c r="QM31" s="99">
        <v>40.5764061913696</v>
      </c>
      <c r="QN31" s="99">
        <v>40.647477485928697</v>
      </c>
      <c r="QO31" s="99">
        <v>40.718548780487801</v>
      </c>
      <c r="QP31" s="99">
        <v>40.789620075046898</v>
      </c>
      <c r="QQ31" s="99">
        <v>40.860691369606002</v>
      </c>
      <c r="QR31" s="99">
        <v>40.931762664165099</v>
      </c>
      <c r="QS31" s="99">
        <v>41.002833958724203</v>
      </c>
      <c r="QT31" s="99">
        <v>41.0739052532833</v>
      </c>
      <c r="QU31" s="99">
        <v>41.144976547842397</v>
      </c>
      <c r="QV31" s="99">
        <v>41.216047842401501</v>
      </c>
      <c r="QW31" s="99">
        <v>41.287119136960598</v>
      </c>
      <c r="QX31" s="99">
        <v>41.358190431519702</v>
      </c>
      <c r="QY31" s="99">
        <v>41.429261726078799</v>
      </c>
      <c r="QZ31" s="99">
        <v>41.500333020637903</v>
      </c>
      <c r="RA31" s="99">
        <v>41.571404315197</v>
      </c>
      <c r="RB31" s="99">
        <v>41.642475609756097</v>
      </c>
      <c r="RC31" s="99">
        <v>41.713546904315201</v>
      </c>
      <c r="RD31" s="99">
        <v>41.784618198874298</v>
      </c>
      <c r="RE31" s="99">
        <v>41.855689493433403</v>
      </c>
      <c r="RF31" s="99">
        <v>41.9267607879925</v>
      </c>
      <c r="RG31" s="99">
        <v>41.997832082551596</v>
      </c>
      <c r="RH31" s="99">
        <v>42.068903377110701</v>
      </c>
      <c r="RI31" s="99">
        <v>42.139974671669798</v>
      </c>
      <c r="RJ31" s="99">
        <v>42.211045966228902</v>
      </c>
      <c r="RK31" s="99">
        <v>42.282117260787999</v>
      </c>
      <c r="RL31" s="99">
        <v>42.353188555347103</v>
      </c>
      <c r="RM31" s="99">
        <v>42.4242598499062</v>
      </c>
      <c r="RN31" s="99">
        <v>42.495331144465297</v>
      </c>
      <c r="RO31" s="99">
        <v>42.566402439024401</v>
      </c>
      <c r="RP31" s="99">
        <v>42.637473733583498</v>
      </c>
      <c r="RQ31" s="99">
        <v>42.708545028142602</v>
      </c>
      <c r="RR31" s="99">
        <v>42.779616322701699</v>
      </c>
      <c r="RS31" s="99">
        <v>42.850687617260803</v>
      </c>
      <c r="RT31" s="99">
        <v>42.9217589118199</v>
      </c>
      <c r="RU31" s="99">
        <v>42.992830206378997</v>
      </c>
      <c r="RV31" s="99">
        <v>43.063901500938101</v>
      </c>
      <c r="RW31" s="99">
        <v>43.134972795497198</v>
      </c>
      <c r="RX31" s="99">
        <v>43.206044090056302</v>
      </c>
      <c r="RY31" s="99">
        <v>43.277115384615399</v>
      </c>
      <c r="RZ31" s="99">
        <v>43.348186679174503</v>
      </c>
      <c r="SA31" s="99">
        <v>43.4192579737336</v>
      </c>
      <c r="SB31" s="99">
        <v>43.490329268292697</v>
      </c>
      <c r="SC31" s="99">
        <v>43.561400562851802</v>
      </c>
      <c r="SD31" s="99">
        <v>43.632471857410899</v>
      </c>
      <c r="SE31" s="99">
        <v>43.703543151970003</v>
      </c>
      <c r="SF31" s="99">
        <v>43.7746144465291</v>
      </c>
      <c r="SG31" s="99">
        <v>43.845685741088197</v>
      </c>
      <c r="SH31" s="99">
        <v>43.916757035647301</v>
      </c>
      <c r="SI31" s="99">
        <v>43.987828330206398</v>
      </c>
      <c r="SJ31" s="99">
        <v>44.058899624765502</v>
      </c>
      <c r="SK31" s="99">
        <v>44.129970919324599</v>
      </c>
      <c r="SL31" s="99">
        <v>44.201042213883703</v>
      </c>
      <c r="SM31" s="99">
        <v>44.2721135084428</v>
      </c>
      <c r="SN31" s="99">
        <v>44.343184803001897</v>
      </c>
      <c r="SO31" s="99">
        <v>44.414256097561001</v>
      </c>
      <c r="SP31" s="99">
        <v>44.485327392120098</v>
      </c>
      <c r="SQ31" s="99">
        <v>44.556398686679202</v>
      </c>
      <c r="SR31" s="99">
        <v>44.627469981238299</v>
      </c>
      <c r="SS31" s="99">
        <v>44.698541275797403</v>
      </c>
      <c r="ST31" s="99">
        <v>44.7696125703565</v>
      </c>
      <c r="SU31" s="99">
        <v>44.840683864915597</v>
      </c>
      <c r="SV31" s="99">
        <v>44.911755159474701</v>
      </c>
      <c r="SW31" s="99">
        <v>44.982826454033798</v>
      </c>
      <c r="SX31" s="99">
        <v>45.053897748592902</v>
      </c>
      <c r="SY31" s="99">
        <v>45.124969043151999</v>
      </c>
      <c r="SZ31" s="99">
        <v>45.196040337711104</v>
      </c>
      <c r="TA31" s="99">
        <v>45.267111632270201</v>
      </c>
      <c r="TB31" s="99">
        <v>45.338182926829298</v>
      </c>
      <c r="TC31" s="99">
        <v>45.409254221388402</v>
      </c>
      <c r="TD31" s="99">
        <v>45.480325515947499</v>
      </c>
      <c r="TE31" s="99">
        <v>45.551396810506603</v>
      </c>
      <c r="TF31" s="99">
        <v>45.6224681050657</v>
      </c>
      <c r="TG31" s="99">
        <v>45.693539399624797</v>
      </c>
      <c r="TH31" s="99">
        <v>45.764610694183901</v>
      </c>
      <c r="TI31" s="99">
        <v>45.835681988742998</v>
      </c>
      <c r="TJ31" s="99">
        <v>45.906753283302102</v>
      </c>
      <c r="TK31" s="99">
        <v>45.977824577861199</v>
      </c>
      <c r="TL31" s="99">
        <v>46.048895872420303</v>
      </c>
      <c r="TM31" s="99">
        <v>46.1199671669794</v>
      </c>
      <c r="TN31" s="99">
        <v>46.191038461538497</v>
      </c>
      <c r="TO31" s="99">
        <v>46.262109756097601</v>
      </c>
      <c r="TP31" s="99">
        <v>46.333181050656698</v>
      </c>
      <c r="TQ31" s="99">
        <v>46.404252345215802</v>
      </c>
      <c r="TR31" s="99">
        <v>46.475323639774899</v>
      </c>
      <c r="TS31" s="99">
        <v>46.546394934334003</v>
      </c>
      <c r="TT31" s="99">
        <v>46.6174662288931</v>
      </c>
      <c r="TU31" s="99">
        <v>46.688537523452197</v>
      </c>
      <c r="TV31" s="99">
        <v>46.759608818011301</v>
      </c>
      <c r="TW31" s="99">
        <v>46.830680112570398</v>
      </c>
      <c r="TX31" s="99">
        <v>46.901751407129503</v>
      </c>
      <c r="TY31" s="99">
        <v>46.9728227016886</v>
      </c>
      <c r="TZ31" s="99">
        <v>47.043893996247697</v>
      </c>
      <c r="UA31" s="99">
        <v>47.114965290806801</v>
      </c>
      <c r="UB31" s="99">
        <v>47.186036585365898</v>
      </c>
      <c r="UC31" s="99">
        <v>47.257107879925002</v>
      </c>
      <c r="UD31" s="99">
        <v>47.328179174484099</v>
      </c>
      <c r="UE31" s="99">
        <v>47.399250469043203</v>
      </c>
      <c r="UF31" s="99">
        <v>47.4703217636023</v>
      </c>
      <c r="UG31" s="99">
        <v>47.541393058161397</v>
      </c>
      <c r="UH31" s="99">
        <v>47.612464352720501</v>
      </c>
      <c r="UI31" s="99">
        <v>47.683535647279598</v>
      </c>
      <c r="UJ31" s="99">
        <v>47.754606941838702</v>
      </c>
      <c r="UK31" s="99">
        <v>47.825678236397799</v>
      </c>
      <c r="UL31" s="99">
        <v>47.896749530956903</v>
      </c>
      <c r="UM31" s="99">
        <v>47.967820825516</v>
      </c>
      <c r="UN31" s="99">
        <v>48.038892120075097</v>
      </c>
      <c r="UO31" s="99">
        <v>48.109963414634201</v>
      </c>
      <c r="UP31" s="99">
        <v>48.181034709193298</v>
      </c>
      <c r="UQ31" s="99">
        <v>48.252106003752402</v>
      </c>
      <c r="UR31" s="99">
        <v>48.323177298311499</v>
      </c>
      <c r="US31" s="99">
        <v>48.394248592870603</v>
      </c>
      <c r="UT31" s="99">
        <v>48.4653198874297</v>
      </c>
    </row>
    <row r="32" spans="1:566" x14ac:dyDescent="0.2">
      <c r="A32" s="89">
        <v>13</v>
      </c>
      <c r="B32" s="90">
        <v>8.2899999999999991</v>
      </c>
      <c r="C32" s="90">
        <v>8.36</v>
      </c>
      <c r="D32" s="90">
        <v>8.43</v>
      </c>
      <c r="E32" s="90">
        <v>8.5</v>
      </c>
      <c r="F32" s="90">
        <v>8.57</v>
      </c>
      <c r="G32" s="90">
        <v>8.64</v>
      </c>
      <c r="H32" s="90">
        <v>8.7100000000000009</v>
      </c>
      <c r="I32" s="90">
        <v>8.7799999999999994</v>
      </c>
      <c r="J32" s="90">
        <v>8.85</v>
      </c>
      <c r="K32" s="90">
        <v>8.92</v>
      </c>
      <c r="L32" s="90">
        <v>8.99</v>
      </c>
      <c r="M32" s="90">
        <v>9.06</v>
      </c>
      <c r="N32" s="90">
        <v>9.1300000000000008</v>
      </c>
      <c r="O32" s="90">
        <v>9.1999999999999993</v>
      </c>
      <c r="P32" s="90">
        <v>9.27</v>
      </c>
      <c r="Q32" s="90">
        <v>9.34</v>
      </c>
      <c r="R32" s="90">
        <v>9.41</v>
      </c>
      <c r="S32" s="90">
        <v>9.48</v>
      </c>
      <c r="T32" s="90">
        <v>9.5500000000000007</v>
      </c>
      <c r="U32" s="91">
        <v>9.6199999999999992</v>
      </c>
      <c r="V32" s="90">
        <v>9.69</v>
      </c>
      <c r="W32" s="90">
        <v>9.76</v>
      </c>
      <c r="X32" s="90">
        <v>9.83</v>
      </c>
      <c r="Y32" s="90">
        <v>9.9</v>
      </c>
      <c r="Z32" s="90">
        <v>9.9700000000000006</v>
      </c>
      <c r="AA32" s="90">
        <v>10.039999999999999</v>
      </c>
      <c r="AB32" s="90">
        <v>10.11</v>
      </c>
      <c r="AC32" s="90">
        <v>10.19</v>
      </c>
      <c r="AD32" s="90">
        <v>10.26</v>
      </c>
      <c r="AE32" s="90">
        <v>10.33</v>
      </c>
      <c r="AF32" s="90">
        <v>10.4</v>
      </c>
      <c r="AG32" s="90">
        <v>10.47</v>
      </c>
      <c r="AH32" s="90">
        <v>10.54</v>
      </c>
      <c r="AI32" s="90">
        <v>10.61</v>
      </c>
      <c r="AJ32" s="90">
        <v>10.68</v>
      </c>
      <c r="AK32" s="90">
        <v>10.75</v>
      </c>
      <c r="AL32" s="90">
        <v>10.82</v>
      </c>
      <c r="AM32" s="90">
        <v>10.89</v>
      </c>
      <c r="AN32" s="90">
        <v>10.96</v>
      </c>
      <c r="AO32" s="91">
        <v>11.03</v>
      </c>
      <c r="AP32" s="90">
        <v>11.1</v>
      </c>
      <c r="AQ32" s="90">
        <v>11.170329268292701</v>
      </c>
      <c r="AR32" s="90">
        <v>11.2406585365854</v>
      </c>
      <c r="AS32" s="90">
        <v>11.310987804878099</v>
      </c>
      <c r="AT32" s="90">
        <v>11.381317073170701</v>
      </c>
      <c r="AU32" s="90">
        <v>11.4516463414634</v>
      </c>
      <c r="AV32" s="90">
        <v>11.521975609756099</v>
      </c>
      <c r="AW32" s="90">
        <v>11.5923048780488</v>
      </c>
      <c r="AX32" s="90">
        <v>11.6626341463415</v>
      </c>
      <c r="AY32" s="90">
        <v>11.732963414634099</v>
      </c>
      <c r="AZ32" s="90">
        <v>11.8032926829268</v>
      </c>
      <c r="BA32" s="90">
        <v>11.8736219512195</v>
      </c>
      <c r="BB32" s="90">
        <v>11.943951219512201</v>
      </c>
      <c r="BC32" s="90">
        <v>12.0142804878049</v>
      </c>
      <c r="BD32" s="90">
        <v>12.084609756097599</v>
      </c>
      <c r="BE32" s="90">
        <v>12.154939024390201</v>
      </c>
      <c r="BF32" s="90">
        <v>12.2252682926829</v>
      </c>
      <c r="BG32" s="90">
        <v>12.295597560975599</v>
      </c>
      <c r="BH32" s="90">
        <v>12.3659268292683</v>
      </c>
      <c r="BI32" s="91">
        <v>12.436256097560999</v>
      </c>
      <c r="BJ32" s="90">
        <v>12.506585365853701</v>
      </c>
      <c r="BK32" s="99">
        <v>12.5769146341463</v>
      </c>
      <c r="BL32" s="99">
        <v>12.647243902439</v>
      </c>
      <c r="BM32" s="99">
        <v>12.717573170731701</v>
      </c>
      <c r="BN32" s="99">
        <v>12.7879024390244</v>
      </c>
      <c r="BO32" s="99">
        <v>12.858231707317101</v>
      </c>
      <c r="BP32" s="99">
        <v>12.9285609756098</v>
      </c>
      <c r="BQ32" s="99">
        <v>12.9988902439024</v>
      </c>
      <c r="BR32" s="99">
        <v>13.069219512195099</v>
      </c>
      <c r="BS32" s="99">
        <v>13.1395487804878</v>
      </c>
      <c r="BT32" s="99">
        <v>13.209878048780499</v>
      </c>
      <c r="BU32" s="99">
        <v>13.2802073170732</v>
      </c>
      <c r="BV32" s="99">
        <v>13.3505365853659</v>
      </c>
      <c r="BW32" s="99">
        <v>13.420865853658499</v>
      </c>
      <c r="BX32" s="99">
        <v>13.491195121951201</v>
      </c>
      <c r="BY32" s="99">
        <v>13.5615243902439</v>
      </c>
      <c r="BZ32" s="99">
        <v>13.631853658536601</v>
      </c>
      <c r="CA32" s="99">
        <v>13.7021829268293</v>
      </c>
      <c r="CB32" s="99">
        <v>13.772512195121999</v>
      </c>
      <c r="CC32" s="99">
        <v>13.842841463414601</v>
      </c>
      <c r="CD32" s="99">
        <v>13.9131707317073</v>
      </c>
      <c r="CE32" s="99">
        <v>13.983499999999999</v>
      </c>
      <c r="CF32" s="99">
        <v>14.0538292682927</v>
      </c>
      <c r="CG32" s="99">
        <v>14.1241585365854</v>
      </c>
      <c r="CH32" s="99">
        <v>14.194487804878101</v>
      </c>
      <c r="CI32" s="99">
        <v>14.2648170731707</v>
      </c>
      <c r="CJ32" s="99">
        <v>14.3351463414634</v>
      </c>
      <c r="CK32" s="99">
        <v>14.405475609756101</v>
      </c>
      <c r="CL32" s="99">
        <v>14.4758048780488</v>
      </c>
      <c r="CM32" s="99">
        <v>14.546134146341499</v>
      </c>
      <c r="CN32" s="99">
        <v>14.616463414634101</v>
      </c>
      <c r="CO32" s="99">
        <v>14.6867926829268</v>
      </c>
      <c r="CP32" s="99">
        <v>14.757121951219499</v>
      </c>
      <c r="CQ32" s="99">
        <v>14.8274512195122</v>
      </c>
      <c r="CR32" s="99">
        <v>14.8977804878049</v>
      </c>
      <c r="CS32" s="99">
        <v>14.968109756097601</v>
      </c>
      <c r="CT32" s="99">
        <v>15.0384390243902</v>
      </c>
      <c r="CU32" s="99">
        <v>15.1087682926829</v>
      </c>
      <c r="CV32" s="99">
        <v>15.179097560975601</v>
      </c>
      <c r="CW32" s="99">
        <v>15.2494268292683</v>
      </c>
      <c r="CX32" s="99">
        <v>15.319756097560999</v>
      </c>
      <c r="CY32" s="99">
        <v>15.3900853658537</v>
      </c>
      <c r="CZ32" s="99">
        <v>15.4604146341463</v>
      </c>
      <c r="DA32" s="99">
        <v>15.530743902438999</v>
      </c>
      <c r="DB32" s="99">
        <v>15.6010731707317</v>
      </c>
      <c r="DC32" s="99">
        <v>15.6714024390244</v>
      </c>
      <c r="DD32" s="99">
        <v>15.741731707317101</v>
      </c>
      <c r="DE32" s="99">
        <v>15.8120609756098</v>
      </c>
      <c r="DF32" s="99">
        <v>15.8823902439024</v>
      </c>
      <c r="DG32" s="99">
        <v>15.952719512195101</v>
      </c>
      <c r="DH32" s="99">
        <v>16.023048780487802</v>
      </c>
      <c r="DI32" s="99">
        <v>16.093378048780501</v>
      </c>
      <c r="DJ32" s="99">
        <v>16.1637073170732</v>
      </c>
      <c r="DK32" s="99">
        <v>16.2340365853658</v>
      </c>
      <c r="DL32" s="99">
        <v>16.304365853658499</v>
      </c>
      <c r="DM32" s="99">
        <v>16.374695121951198</v>
      </c>
      <c r="DN32" s="99">
        <v>16.445024390243901</v>
      </c>
      <c r="DO32" s="99">
        <v>16.515353658536601</v>
      </c>
      <c r="DP32" s="99">
        <v>16.5856829268293</v>
      </c>
      <c r="DQ32" s="99">
        <v>16.656012195121999</v>
      </c>
      <c r="DR32" s="99">
        <v>16.726341463414599</v>
      </c>
      <c r="DS32" s="99">
        <v>16.796670731707302</v>
      </c>
      <c r="DT32" s="99">
        <v>16.867000000000001</v>
      </c>
      <c r="DU32" s="99">
        <v>16.9373292682927</v>
      </c>
      <c r="DV32" s="99">
        <v>17.007658536585399</v>
      </c>
      <c r="DW32" s="99">
        <v>17.077987804877999</v>
      </c>
      <c r="DX32" s="99">
        <v>17.148317073170698</v>
      </c>
      <c r="DY32" s="99">
        <v>17.218646341463401</v>
      </c>
      <c r="DZ32" s="99">
        <v>17.2889756097561</v>
      </c>
      <c r="EA32" s="99">
        <v>17.3593048780488</v>
      </c>
      <c r="EB32" s="99">
        <v>17.429634146341499</v>
      </c>
      <c r="EC32" s="99">
        <v>17.499963414634099</v>
      </c>
      <c r="ED32" s="99">
        <v>17.570292682926802</v>
      </c>
      <c r="EE32" s="99">
        <v>17.640621951219501</v>
      </c>
      <c r="EF32" s="99">
        <v>17.7109512195122</v>
      </c>
      <c r="EG32" s="99">
        <v>17.781280487804899</v>
      </c>
      <c r="EH32" s="99">
        <v>17.851609756097599</v>
      </c>
      <c r="EI32" s="99">
        <v>17.921939024390198</v>
      </c>
      <c r="EJ32" s="99">
        <v>17.992268292682901</v>
      </c>
      <c r="EK32" s="99">
        <v>18.0625975609756</v>
      </c>
      <c r="EL32" s="99">
        <v>18.1329268292683</v>
      </c>
      <c r="EM32" s="99">
        <v>18.203256097560999</v>
      </c>
      <c r="EN32" s="99">
        <v>18.273585365853702</v>
      </c>
      <c r="EO32" s="99">
        <v>18.343914634146401</v>
      </c>
      <c r="EP32" s="99">
        <v>18.414243902439001</v>
      </c>
      <c r="EQ32" s="99">
        <v>18.4845731707317</v>
      </c>
      <c r="ER32" s="99">
        <v>18.554902439024399</v>
      </c>
      <c r="ES32" s="99">
        <v>18.625231707317099</v>
      </c>
      <c r="ET32" s="99">
        <v>18.695560975609801</v>
      </c>
      <c r="EU32" s="99">
        <v>18.765890243902501</v>
      </c>
      <c r="EV32" s="99">
        <v>18.8362195121951</v>
      </c>
      <c r="EW32" s="99">
        <v>18.9065487804878</v>
      </c>
      <c r="EX32" s="99">
        <v>18.976878048780499</v>
      </c>
      <c r="EY32" s="99">
        <v>19.047207317073202</v>
      </c>
      <c r="EZ32" s="99">
        <v>19.117536585365901</v>
      </c>
      <c r="FA32" s="99">
        <v>19.1878658536586</v>
      </c>
      <c r="FB32" s="99">
        <v>19.2581951219512</v>
      </c>
      <c r="FC32" s="99">
        <v>19.328524390243899</v>
      </c>
      <c r="FD32" s="99">
        <v>19.398853658536598</v>
      </c>
      <c r="FE32" s="99">
        <v>19.469182926829301</v>
      </c>
      <c r="FF32" s="99">
        <v>19.539512195122001</v>
      </c>
      <c r="FG32" s="99">
        <v>19.6098414634147</v>
      </c>
      <c r="FH32" s="99">
        <v>19.6801707317073</v>
      </c>
      <c r="FI32" s="99">
        <v>19.750499999999999</v>
      </c>
      <c r="FJ32" s="99">
        <v>19.820829268292702</v>
      </c>
      <c r="FK32" s="99">
        <v>19.891158536585401</v>
      </c>
      <c r="FL32" s="99">
        <v>19.9614878048781</v>
      </c>
      <c r="FM32" s="99">
        <v>20.031817073170799</v>
      </c>
      <c r="FN32" s="99">
        <v>20.102146341463399</v>
      </c>
      <c r="FO32" s="99">
        <v>20.172475609756098</v>
      </c>
      <c r="FP32" s="99">
        <v>20.242804878048801</v>
      </c>
      <c r="FQ32" s="99">
        <v>20.3131341463415</v>
      </c>
      <c r="FR32" s="99">
        <v>20.3834634146342</v>
      </c>
      <c r="FS32" s="99">
        <v>20.4537926829268</v>
      </c>
      <c r="FT32" s="99">
        <v>20.524121951219499</v>
      </c>
      <c r="FU32" s="99">
        <v>20.594451219512202</v>
      </c>
      <c r="FV32" s="99">
        <v>20.664780487804901</v>
      </c>
      <c r="FW32" s="99">
        <v>20.7351097560976</v>
      </c>
      <c r="FX32" s="99">
        <v>20.805439024390299</v>
      </c>
      <c r="FY32" s="99">
        <v>20.875768292682899</v>
      </c>
      <c r="FZ32" s="99">
        <v>20.946097560975598</v>
      </c>
      <c r="GA32" s="99">
        <v>21.016426829268301</v>
      </c>
      <c r="GB32" s="99">
        <v>21.086756097561</v>
      </c>
      <c r="GC32" s="99">
        <v>21.1570853658537</v>
      </c>
      <c r="GD32" s="99">
        <v>21.227414634146399</v>
      </c>
      <c r="GE32" s="99">
        <v>21.297743902438999</v>
      </c>
      <c r="GF32" s="99">
        <v>21.368073170731702</v>
      </c>
      <c r="GG32" s="99">
        <v>21.438402439024401</v>
      </c>
      <c r="GH32" s="99">
        <v>21.5087317073171</v>
      </c>
      <c r="GI32" s="99">
        <v>21.579060975609799</v>
      </c>
      <c r="GJ32" s="99">
        <v>21.649390243902499</v>
      </c>
      <c r="GK32" s="99">
        <v>21.719719512195098</v>
      </c>
      <c r="GL32" s="99">
        <v>21.790048780487801</v>
      </c>
      <c r="GM32" s="99">
        <v>21.8603780487805</v>
      </c>
      <c r="GN32" s="99">
        <v>21.9307073170732</v>
      </c>
      <c r="GO32" s="99">
        <v>22.001036585365899</v>
      </c>
      <c r="GP32" s="99">
        <v>22.071365853658602</v>
      </c>
      <c r="GQ32" s="99">
        <v>22.141695121951201</v>
      </c>
      <c r="GR32" s="99">
        <v>22.212024390243901</v>
      </c>
      <c r="GS32" s="99">
        <v>22.2823536585366</v>
      </c>
      <c r="GT32" s="99">
        <v>22.352682926829299</v>
      </c>
      <c r="GU32" s="99">
        <v>22.423012195121999</v>
      </c>
      <c r="GV32" s="99">
        <v>22.493341463414701</v>
      </c>
      <c r="GW32" s="99">
        <v>22.563670731707301</v>
      </c>
      <c r="GX32" s="99">
        <v>22.634</v>
      </c>
      <c r="GY32" s="99">
        <v>22.7043292682927</v>
      </c>
      <c r="GZ32" s="99">
        <v>22.774658536585399</v>
      </c>
      <c r="HA32" s="99">
        <v>22.844987804878102</v>
      </c>
      <c r="HB32" s="99">
        <v>22.915317073170801</v>
      </c>
      <c r="HC32" s="99">
        <v>22.985646341463401</v>
      </c>
      <c r="HD32" s="99">
        <v>23.0559756097561</v>
      </c>
      <c r="HE32" s="99">
        <v>23.126304878048799</v>
      </c>
      <c r="HF32" s="99">
        <v>23.196634146341498</v>
      </c>
      <c r="HG32" s="99">
        <v>23.266963414634201</v>
      </c>
      <c r="HH32" s="99">
        <v>23.337292682926801</v>
      </c>
      <c r="HI32" s="99">
        <v>23.4076219512195</v>
      </c>
      <c r="HJ32" s="99">
        <v>23.4779512195122</v>
      </c>
      <c r="HK32" s="99">
        <v>23.548280487804899</v>
      </c>
      <c r="HL32" s="99">
        <v>23.618609756097602</v>
      </c>
      <c r="HM32" s="99">
        <v>23.688939024390301</v>
      </c>
      <c r="HN32" s="99">
        <v>23.759268292682901</v>
      </c>
      <c r="HO32" s="99">
        <v>23.8295975609756</v>
      </c>
      <c r="HP32" s="99">
        <v>23.899926829268299</v>
      </c>
      <c r="HQ32" s="99">
        <v>23.970256097560998</v>
      </c>
      <c r="HR32" s="99">
        <v>24.040585365853701</v>
      </c>
      <c r="HS32" s="99">
        <v>24.1109146341464</v>
      </c>
      <c r="HT32" s="99">
        <v>24.181243902439</v>
      </c>
      <c r="HU32" s="99">
        <v>24.251573170731699</v>
      </c>
      <c r="HV32" s="99">
        <v>24.321902439024399</v>
      </c>
      <c r="HW32" s="99">
        <v>24.392231707317102</v>
      </c>
      <c r="HX32" s="99">
        <v>24.462560975609801</v>
      </c>
      <c r="HY32" s="99">
        <v>24.5328902439025</v>
      </c>
      <c r="HZ32" s="99">
        <v>24.6032195121951</v>
      </c>
      <c r="IA32" s="99">
        <v>24.673548780487799</v>
      </c>
      <c r="IB32" s="99">
        <v>24.743878048780498</v>
      </c>
      <c r="IC32" s="99">
        <v>24.814207317073201</v>
      </c>
      <c r="ID32" s="99">
        <v>24.8845365853659</v>
      </c>
      <c r="IE32" s="99">
        <v>24.9548658536586</v>
      </c>
      <c r="IF32" s="99">
        <v>25.025195121951199</v>
      </c>
      <c r="IG32" s="99">
        <v>25.095524390243899</v>
      </c>
      <c r="IH32" s="99">
        <v>25.165853658536602</v>
      </c>
      <c r="II32" s="99">
        <v>25.236182926829301</v>
      </c>
      <c r="IJ32" s="99">
        <v>25.306512195122</v>
      </c>
      <c r="IK32" s="99">
        <v>25.376841463414699</v>
      </c>
      <c r="IL32" s="99">
        <v>25.447170731707299</v>
      </c>
      <c r="IM32" s="99">
        <v>25.517499999999998</v>
      </c>
      <c r="IN32" s="99">
        <v>25.587829268292701</v>
      </c>
      <c r="IO32" s="99">
        <v>25.6581585365854</v>
      </c>
      <c r="IP32" s="99">
        <v>25.7284878048781</v>
      </c>
      <c r="IQ32" s="99">
        <v>25.798817073170699</v>
      </c>
      <c r="IR32" s="99">
        <v>25.869146341463399</v>
      </c>
      <c r="IS32" s="99">
        <v>25.939475609756101</v>
      </c>
      <c r="IT32" s="99">
        <v>26.009804878048801</v>
      </c>
      <c r="IU32" s="99">
        <v>26.0801341463415</v>
      </c>
      <c r="IV32" s="99">
        <v>26.150463414634199</v>
      </c>
      <c r="IW32" s="99">
        <v>26.220792682926799</v>
      </c>
      <c r="IX32" s="99">
        <v>26.291121951219498</v>
      </c>
      <c r="IY32" s="99">
        <v>26.361451219512201</v>
      </c>
      <c r="IZ32" s="99">
        <v>26.4317804878049</v>
      </c>
      <c r="JA32" s="99">
        <v>26.5021097560976</v>
      </c>
      <c r="JB32" s="99">
        <v>26.572439024390299</v>
      </c>
      <c r="JC32" s="99">
        <v>26.642768292682899</v>
      </c>
      <c r="JD32" s="99">
        <v>26.713097560975601</v>
      </c>
      <c r="JE32" s="99">
        <v>26.783426829268301</v>
      </c>
      <c r="JF32" s="99">
        <v>26.853756097561</v>
      </c>
      <c r="JG32" s="99">
        <v>26.924085365853699</v>
      </c>
      <c r="JH32" s="99">
        <v>26.994414634146398</v>
      </c>
      <c r="JI32" s="99">
        <v>27.064743902439002</v>
      </c>
      <c r="JJ32" s="99">
        <v>27.135073170731701</v>
      </c>
      <c r="JK32" s="99">
        <v>27.2054024390244</v>
      </c>
      <c r="JL32" s="99">
        <v>27.2757317073171</v>
      </c>
      <c r="JM32" s="99">
        <v>27.346060975609799</v>
      </c>
      <c r="JN32" s="99">
        <v>27.416390243902502</v>
      </c>
      <c r="JO32" s="99">
        <v>27.486719512195101</v>
      </c>
      <c r="JP32" s="99">
        <v>27.557048780487801</v>
      </c>
      <c r="JQ32" s="99">
        <v>27.6273780487805</v>
      </c>
      <c r="JR32" s="99">
        <v>27.697707317073199</v>
      </c>
      <c r="JS32" s="99">
        <v>27.768036585365898</v>
      </c>
      <c r="JT32" s="99">
        <v>27.838365853658601</v>
      </c>
      <c r="JU32" s="99">
        <v>27.908695121951201</v>
      </c>
      <c r="JV32" s="99">
        <v>27.9790243902439</v>
      </c>
      <c r="JW32" s="99">
        <v>28.049353658536599</v>
      </c>
      <c r="JX32" s="99">
        <v>28.119682926829299</v>
      </c>
      <c r="JY32" s="99">
        <v>28.190012195122002</v>
      </c>
      <c r="JZ32" s="99">
        <v>28.260341463414701</v>
      </c>
      <c r="KA32" s="99">
        <v>28.330670731707301</v>
      </c>
      <c r="KB32" s="99">
        <v>28.401</v>
      </c>
      <c r="KC32" s="99">
        <v>28.471329268292699</v>
      </c>
      <c r="KD32" s="99">
        <v>28.541658536585398</v>
      </c>
      <c r="KE32" s="99">
        <v>28.611987804878101</v>
      </c>
      <c r="KF32" s="99">
        <v>28.6823170731708</v>
      </c>
      <c r="KG32" s="99">
        <v>28.7526463414634</v>
      </c>
      <c r="KH32" s="99">
        <v>28.822975609756099</v>
      </c>
      <c r="KI32" s="99">
        <v>28.893304878048799</v>
      </c>
      <c r="KJ32" s="99">
        <v>28.963634146341501</v>
      </c>
      <c r="KK32" s="99">
        <v>29.033963414634201</v>
      </c>
      <c r="KL32" s="99">
        <v>29.1042926829268</v>
      </c>
      <c r="KM32" s="99">
        <v>29.1746219512195</v>
      </c>
      <c r="KN32" s="99">
        <v>29.244951219512199</v>
      </c>
      <c r="KO32" s="99">
        <v>29.315280487804898</v>
      </c>
      <c r="KP32" s="99">
        <v>29.385609756097601</v>
      </c>
      <c r="KQ32" s="99">
        <v>29.4559390243903</v>
      </c>
      <c r="KR32" s="99">
        <v>29.5262682926829</v>
      </c>
      <c r="KS32" s="99">
        <v>29.596597560975599</v>
      </c>
      <c r="KT32" s="99">
        <v>29.666926829268299</v>
      </c>
      <c r="KU32" s="99">
        <v>29.737256097561001</v>
      </c>
      <c r="KV32" s="99">
        <v>29.807585365853701</v>
      </c>
      <c r="KW32" s="99">
        <v>29.8779146341464</v>
      </c>
      <c r="KX32" s="99">
        <v>29.948243902439</v>
      </c>
      <c r="KY32" s="99">
        <v>30.018573170731699</v>
      </c>
      <c r="KZ32" s="99">
        <v>30.088902439024402</v>
      </c>
      <c r="LA32" s="99">
        <v>30.159231707317101</v>
      </c>
      <c r="LB32" s="99">
        <v>30.2295609756098</v>
      </c>
      <c r="LC32" s="99">
        <v>30.2998902439025</v>
      </c>
      <c r="LD32" s="99">
        <v>30.370219512195099</v>
      </c>
      <c r="LE32" s="99">
        <v>30.440548780487799</v>
      </c>
      <c r="LF32" s="99">
        <v>30.510878048780501</v>
      </c>
      <c r="LG32" s="99">
        <v>30.581207317073201</v>
      </c>
      <c r="LH32" s="99">
        <v>30.6515365853659</v>
      </c>
      <c r="LI32" s="99">
        <v>30.721865853658599</v>
      </c>
      <c r="LJ32" s="99">
        <v>30.792195121951199</v>
      </c>
      <c r="LK32" s="99">
        <v>30.862524390243902</v>
      </c>
      <c r="LL32" s="99">
        <v>30.932853658536601</v>
      </c>
      <c r="LM32" s="99">
        <v>31.0031829268293</v>
      </c>
      <c r="LN32" s="99">
        <v>31.073512195121999</v>
      </c>
      <c r="LO32" s="99">
        <v>31.143841463414699</v>
      </c>
      <c r="LP32" s="99">
        <v>31.214170731707299</v>
      </c>
      <c r="LQ32" s="99">
        <v>31.284500000000001</v>
      </c>
      <c r="LR32" s="99">
        <v>31.354829268292701</v>
      </c>
      <c r="LS32" s="99">
        <v>31.4251585365854</v>
      </c>
      <c r="LT32" s="99">
        <v>31.495487804878099</v>
      </c>
      <c r="LU32" s="99">
        <v>31.565817073170699</v>
      </c>
      <c r="LV32" s="99">
        <v>31.636146341463402</v>
      </c>
      <c r="LW32" s="99">
        <v>31.706475609756101</v>
      </c>
      <c r="LX32" s="99">
        <v>31.7768048780488</v>
      </c>
      <c r="LY32" s="99">
        <v>31.847134146341499</v>
      </c>
      <c r="LZ32" s="99">
        <v>31.917463414634199</v>
      </c>
      <c r="MA32" s="99">
        <v>31.987792682926798</v>
      </c>
      <c r="MB32" s="99">
        <v>32.058121951219498</v>
      </c>
      <c r="MC32" s="99">
        <v>32.128451219512201</v>
      </c>
      <c r="MD32" s="99">
        <v>32.198780487804903</v>
      </c>
      <c r="ME32" s="99">
        <v>32.269109756097599</v>
      </c>
      <c r="MF32" s="99">
        <v>32.339439024390302</v>
      </c>
      <c r="MG32" s="99">
        <v>32.409768292682898</v>
      </c>
      <c r="MH32" s="99">
        <v>32.480097560975601</v>
      </c>
      <c r="MI32" s="99">
        <v>32.550426829268297</v>
      </c>
      <c r="MJ32" s="99">
        <v>32.620756097560999</v>
      </c>
      <c r="MK32" s="99">
        <v>32.691085365853702</v>
      </c>
      <c r="ML32" s="99">
        <v>32.761414634146398</v>
      </c>
      <c r="MM32" s="99">
        <v>32.831743902439001</v>
      </c>
      <c r="MN32" s="99">
        <v>32.902073170731697</v>
      </c>
      <c r="MO32" s="99">
        <v>32.9724024390244</v>
      </c>
      <c r="MP32" s="99">
        <v>33.042731707317103</v>
      </c>
      <c r="MQ32" s="99">
        <v>33.113060975609798</v>
      </c>
      <c r="MR32" s="99">
        <v>33.183390243902501</v>
      </c>
      <c r="MS32" s="99">
        <v>33.253719512195097</v>
      </c>
      <c r="MT32" s="99">
        <v>33.3240487804878</v>
      </c>
      <c r="MU32" s="99">
        <v>33.394378048780503</v>
      </c>
      <c r="MV32" s="99">
        <v>33.464707317073199</v>
      </c>
      <c r="MW32" s="99">
        <v>33.535036585365901</v>
      </c>
      <c r="MX32" s="99">
        <v>33.605365853658597</v>
      </c>
      <c r="MY32" s="99">
        <v>33.6756951219512</v>
      </c>
      <c r="MZ32" s="99">
        <v>33.746024390243903</v>
      </c>
      <c r="NA32" s="99">
        <v>33.816353658536599</v>
      </c>
      <c r="NB32" s="99">
        <v>33.886682926829302</v>
      </c>
      <c r="NC32" s="99">
        <v>33.957012195121997</v>
      </c>
      <c r="ND32" s="99">
        <v>34.0273414634147</v>
      </c>
      <c r="NE32" s="99">
        <v>34.097670731707296</v>
      </c>
      <c r="NF32" s="99">
        <v>34.167999999999999</v>
      </c>
      <c r="NG32" s="99">
        <v>34.238329268292702</v>
      </c>
      <c r="NH32" s="99">
        <v>34.308658536585398</v>
      </c>
      <c r="NI32" s="99">
        <v>34.378987804878101</v>
      </c>
      <c r="NJ32" s="99">
        <v>34.449317073170803</v>
      </c>
      <c r="NK32" s="99">
        <v>34.5196463414634</v>
      </c>
      <c r="NL32" s="99">
        <v>34.589975609756102</v>
      </c>
      <c r="NM32" s="99">
        <v>34.660304878048798</v>
      </c>
      <c r="NN32" s="99">
        <v>34.730634146341501</v>
      </c>
      <c r="NO32" s="99">
        <v>34.800963414634197</v>
      </c>
      <c r="NP32" s="99">
        <v>34.871292682926899</v>
      </c>
      <c r="NQ32" s="99">
        <v>34.941621951219503</v>
      </c>
      <c r="NR32" s="99">
        <v>35.011951219512198</v>
      </c>
      <c r="NS32" s="99">
        <v>35.082280487804901</v>
      </c>
      <c r="NT32" s="99">
        <v>35.152609756097597</v>
      </c>
      <c r="NU32" s="99">
        <v>35.2229390243903</v>
      </c>
      <c r="NV32" s="99">
        <v>35.293268292682903</v>
      </c>
      <c r="NW32" s="99">
        <v>35.363597560975599</v>
      </c>
      <c r="NX32" s="99">
        <v>35.433926829268302</v>
      </c>
      <c r="NY32" s="99">
        <v>35.504256097560997</v>
      </c>
      <c r="NZ32" s="99">
        <v>35.5745853658537</v>
      </c>
      <c r="OA32" s="99">
        <v>35.644914634146403</v>
      </c>
      <c r="OB32" s="99">
        <v>35.715243902438999</v>
      </c>
      <c r="OC32" s="99">
        <v>35.785573170731702</v>
      </c>
      <c r="OD32" s="99">
        <v>35.855902439024398</v>
      </c>
      <c r="OE32" s="99">
        <v>35.9262317073171</v>
      </c>
      <c r="OF32" s="99">
        <v>35.996560975609803</v>
      </c>
      <c r="OG32" s="99">
        <v>36.066890243902499</v>
      </c>
      <c r="OH32" s="99">
        <v>36.137219512195102</v>
      </c>
      <c r="OI32" s="99">
        <v>36.207548780487798</v>
      </c>
      <c r="OJ32" s="99">
        <v>36.277878048780501</v>
      </c>
      <c r="OK32" s="99">
        <v>36.348207317073197</v>
      </c>
      <c r="OL32" s="99">
        <v>36.418536585365899</v>
      </c>
      <c r="OM32" s="99">
        <v>36.488865853658602</v>
      </c>
      <c r="ON32" s="99">
        <v>36.559195121951198</v>
      </c>
      <c r="OO32" s="99">
        <v>36.629524390243901</v>
      </c>
      <c r="OP32" s="99">
        <v>36.699853658536597</v>
      </c>
      <c r="OQ32" s="99">
        <v>36.7701829268293</v>
      </c>
      <c r="OR32" s="99">
        <v>36.840512195122002</v>
      </c>
      <c r="OS32" s="99">
        <v>36.910841463414698</v>
      </c>
      <c r="OT32" s="99">
        <v>36.981170731707302</v>
      </c>
      <c r="OU32" s="99">
        <v>37.051499999999997</v>
      </c>
      <c r="OV32" s="99">
        <v>37.1218292682927</v>
      </c>
      <c r="OW32" s="99">
        <v>37.192158536585403</v>
      </c>
      <c r="OX32" s="99">
        <v>37.262487804878099</v>
      </c>
      <c r="OY32" s="99">
        <v>37.332817073170801</v>
      </c>
      <c r="OZ32" s="99">
        <v>37.403146341463398</v>
      </c>
      <c r="PA32" s="99">
        <v>37.4734756097561</v>
      </c>
      <c r="PB32" s="99">
        <v>37.543804878048803</v>
      </c>
      <c r="PC32" s="99">
        <v>37.614134146341499</v>
      </c>
      <c r="PD32" s="99">
        <v>37.684463414634202</v>
      </c>
      <c r="PE32" s="99">
        <v>37.754792682926798</v>
      </c>
      <c r="PF32" s="99">
        <v>37.825121951219501</v>
      </c>
      <c r="PG32" s="99">
        <v>37.895451219512204</v>
      </c>
      <c r="PH32" s="99">
        <v>37.965780487804899</v>
      </c>
      <c r="PI32" s="99">
        <v>38.036109756097602</v>
      </c>
      <c r="PJ32" s="99">
        <v>38.106439024390298</v>
      </c>
      <c r="PK32" s="99">
        <v>38.176768292682901</v>
      </c>
      <c r="PL32" s="99">
        <v>38.247097560975597</v>
      </c>
      <c r="PM32" s="99">
        <v>38.3174268292683</v>
      </c>
      <c r="PN32" s="99">
        <v>38.387756097561002</v>
      </c>
      <c r="PO32" s="99">
        <v>38.458085365853698</v>
      </c>
      <c r="PP32" s="99">
        <v>38.528414634146401</v>
      </c>
      <c r="PQ32" s="99">
        <v>38.598743902438997</v>
      </c>
      <c r="PR32" s="99">
        <v>38.6690731707317</v>
      </c>
      <c r="PS32" s="99">
        <v>38.739402439024403</v>
      </c>
      <c r="PT32" s="99">
        <v>38.809731707317098</v>
      </c>
      <c r="PU32" s="99">
        <v>38.880060975609801</v>
      </c>
      <c r="PV32" s="99">
        <v>38.950390243902497</v>
      </c>
      <c r="PW32" s="99">
        <v>39.0207195121951</v>
      </c>
      <c r="PX32" s="99">
        <v>39.091048780487803</v>
      </c>
      <c r="PY32" s="99">
        <v>39.161378048780499</v>
      </c>
      <c r="PZ32" s="99">
        <v>39.231707317073202</v>
      </c>
      <c r="QA32" s="99">
        <v>39.302036585365897</v>
      </c>
      <c r="QB32" s="99">
        <v>39.3723658536586</v>
      </c>
      <c r="QC32" s="99">
        <v>39.442695121951203</v>
      </c>
      <c r="QD32" s="99">
        <v>39.513024390243899</v>
      </c>
      <c r="QE32" s="99">
        <v>39.583353658536602</v>
      </c>
      <c r="QF32" s="99">
        <v>39.653682926829298</v>
      </c>
      <c r="QG32" s="99">
        <v>39.724012195122</v>
      </c>
      <c r="QH32" s="99">
        <v>39.794341463414703</v>
      </c>
      <c r="QI32" s="99">
        <v>39.864670731707299</v>
      </c>
      <c r="QJ32" s="99">
        <v>39.935000000000002</v>
      </c>
      <c r="QK32" s="99">
        <v>40.005329268292698</v>
      </c>
      <c r="QL32" s="99">
        <v>40.075658536585401</v>
      </c>
      <c r="QM32" s="99">
        <v>40.145987804878096</v>
      </c>
      <c r="QN32" s="99">
        <v>40.216317073170799</v>
      </c>
      <c r="QO32" s="99">
        <v>40.286646341463403</v>
      </c>
      <c r="QP32" s="99">
        <v>40.356975609756098</v>
      </c>
      <c r="QQ32" s="99">
        <v>40.427304878048801</v>
      </c>
      <c r="QR32" s="99">
        <v>40.497634146341497</v>
      </c>
      <c r="QS32" s="99">
        <v>40.5679634146342</v>
      </c>
      <c r="QT32" s="99">
        <v>40.638292682926803</v>
      </c>
      <c r="QU32" s="99">
        <v>40.708621951219499</v>
      </c>
      <c r="QV32" s="99">
        <v>40.778951219512201</v>
      </c>
      <c r="QW32" s="99">
        <v>40.849280487804897</v>
      </c>
      <c r="QX32" s="99">
        <v>40.9196097560976</v>
      </c>
      <c r="QY32" s="99">
        <v>40.989939024390303</v>
      </c>
      <c r="QZ32" s="99">
        <v>41.060268292682899</v>
      </c>
      <c r="RA32" s="99">
        <v>41.130597560975602</v>
      </c>
      <c r="RB32" s="99">
        <v>41.200926829268298</v>
      </c>
      <c r="RC32" s="99">
        <v>41.271256097561</v>
      </c>
      <c r="RD32" s="99">
        <v>41.341585365853703</v>
      </c>
      <c r="RE32" s="99">
        <v>41.411914634146399</v>
      </c>
      <c r="RF32" s="99">
        <v>41.482243902439002</v>
      </c>
      <c r="RG32" s="99">
        <v>41.552573170731698</v>
      </c>
      <c r="RH32" s="99">
        <v>41.622902439024401</v>
      </c>
      <c r="RI32" s="99">
        <v>41.693231707317103</v>
      </c>
      <c r="RJ32" s="99">
        <v>41.763560975609799</v>
      </c>
      <c r="RK32" s="99">
        <v>41.833890243902502</v>
      </c>
      <c r="RL32" s="99">
        <v>41.904219512195098</v>
      </c>
      <c r="RM32" s="99">
        <v>41.974548780487801</v>
      </c>
      <c r="RN32" s="99">
        <v>42.044878048780497</v>
      </c>
      <c r="RO32" s="99">
        <v>42.1152073170732</v>
      </c>
      <c r="RP32" s="99">
        <v>42.185536585365902</v>
      </c>
      <c r="RQ32" s="99">
        <v>42.255865853658598</v>
      </c>
      <c r="RR32" s="99">
        <v>42.326195121951201</v>
      </c>
      <c r="RS32" s="99">
        <v>42.396524390243897</v>
      </c>
      <c r="RT32" s="99">
        <v>42.4668536585366</v>
      </c>
      <c r="RU32" s="99">
        <v>42.537182926829303</v>
      </c>
      <c r="RV32" s="99">
        <v>42.607512195121998</v>
      </c>
      <c r="RW32" s="99">
        <v>42.677841463414701</v>
      </c>
      <c r="RX32" s="99">
        <v>42.748170731707297</v>
      </c>
      <c r="RY32" s="99">
        <v>42.8185</v>
      </c>
      <c r="RZ32" s="99">
        <v>42.888829268292703</v>
      </c>
      <c r="SA32" s="99">
        <v>42.959158536585399</v>
      </c>
      <c r="SB32" s="99">
        <v>43.029487804878102</v>
      </c>
      <c r="SC32" s="99">
        <v>43.099817073170797</v>
      </c>
      <c r="SD32" s="99">
        <v>43.170146341463401</v>
      </c>
      <c r="SE32" s="99">
        <v>43.240475609756103</v>
      </c>
      <c r="SF32" s="99">
        <v>43.310804878048799</v>
      </c>
      <c r="SG32" s="99">
        <v>43.381134146341502</v>
      </c>
      <c r="SH32" s="99">
        <v>43.451463414634198</v>
      </c>
      <c r="SI32" s="99">
        <v>43.5217926829269</v>
      </c>
      <c r="SJ32" s="99">
        <v>43.592121951219497</v>
      </c>
      <c r="SK32" s="99">
        <v>43.662451219512199</v>
      </c>
      <c r="SL32" s="99">
        <v>43.732780487804902</v>
      </c>
      <c r="SM32" s="99">
        <v>43.803109756097598</v>
      </c>
      <c r="SN32" s="99">
        <v>43.873439024390301</v>
      </c>
      <c r="SO32" s="99">
        <v>43.943768292682897</v>
      </c>
      <c r="SP32" s="99">
        <v>44.0140975609756</v>
      </c>
      <c r="SQ32" s="99">
        <v>44.084426829268303</v>
      </c>
      <c r="SR32" s="99">
        <v>44.154756097560998</v>
      </c>
      <c r="SS32" s="99">
        <v>44.225085365853701</v>
      </c>
      <c r="ST32" s="99">
        <v>44.295414634146397</v>
      </c>
      <c r="SU32" s="99">
        <v>44.365743902439</v>
      </c>
      <c r="SV32" s="99">
        <v>44.436073170731703</v>
      </c>
      <c r="SW32" s="99">
        <v>44.506402439024399</v>
      </c>
      <c r="SX32" s="99">
        <v>44.576731707317101</v>
      </c>
      <c r="SY32" s="99">
        <v>44.647060975609797</v>
      </c>
      <c r="SZ32" s="99">
        <v>44.7173902439025</v>
      </c>
      <c r="TA32" s="99">
        <v>44.787719512195103</v>
      </c>
      <c r="TB32" s="99">
        <v>44.858048780487799</v>
      </c>
      <c r="TC32" s="99">
        <v>44.928378048780502</v>
      </c>
      <c r="TD32" s="99">
        <v>44.998707317073197</v>
      </c>
      <c r="TE32" s="99">
        <v>45.0690365853659</v>
      </c>
      <c r="TF32" s="99">
        <v>45.139365853658603</v>
      </c>
      <c r="TG32" s="99">
        <v>45.209695121951199</v>
      </c>
      <c r="TH32" s="99">
        <v>45.280024390243902</v>
      </c>
      <c r="TI32" s="99">
        <v>45.350353658536598</v>
      </c>
      <c r="TJ32" s="99">
        <v>45.420682926829301</v>
      </c>
      <c r="TK32" s="99">
        <v>45.491012195122003</v>
      </c>
      <c r="TL32" s="99">
        <v>45.561341463414699</v>
      </c>
      <c r="TM32" s="99">
        <v>45.631670731707302</v>
      </c>
      <c r="TN32" s="99">
        <v>45.701999999999998</v>
      </c>
      <c r="TO32" s="99">
        <v>45.772329268292701</v>
      </c>
      <c r="TP32" s="99">
        <v>45.842658536585397</v>
      </c>
      <c r="TQ32" s="99">
        <v>45.912987804878099</v>
      </c>
      <c r="TR32" s="99">
        <v>45.983317073170802</v>
      </c>
      <c r="TS32" s="99">
        <v>46.053646341463399</v>
      </c>
      <c r="TT32" s="99">
        <v>46.123975609756101</v>
      </c>
      <c r="TU32" s="99">
        <v>46.194304878048797</v>
      </c>
      <c r="TV32" s="99">
        <v>46.2646341463415</v>
      </c>
      <c r="TW32" s="99">
        <v>46.334963414634203</v>
      </c>
      <c r="TX32" s="99">
        <v>46.405292682926799</v>
      </c>
      <c r="TY32" s="99">
        <v>46.475621951219502</v>
      </c>
      <c r="TZ32" s="99">
        <v>46.545951219512197</v>
      </c>
      <c r="UA32" s="99">
        <v>46.6162804878049</v>
      </c>
      <c r="UB32" s="99">
        <v>46.686609756097603</v>
      </c>
      <c r="UC32" s="99">
        <v>46.756939024390299</v>
      </c>
      <c r="UD32" s="99">
        <v>46.827268292682902</v>
      </c>
      <c r="UE32" s="99">
        <v>46.897597560975598</v>
      </c>
      <c r="UF32" s="99">
        <v>46.967926829268301</v>
      </c>
      <c r="UG32" s="99">
        <v>47.038256097561003</v>
      </c>
      <c r="UH32" s="99">
        <v>47.108585365853699</v>
      </c>
      <c r="UI32" s="99">
        <v>47.178914634146402</v>
      </c>
      <c r="UJ32" s="99">
        <v>47.249243902438998</v>
      </c>
      <c r="UK32" s="99">
        <v>47.319573170731701</v>
      </c>
      <c r="UL32" s="99">
        <v>47.389902439024397</v>
      </c>
      <c r="UM32" s="99">
        <v>47.460231707317099</v>
      </c>
      <c r="UN32" s="99">
        <v>47.530560975609802</v>
      </c>
      <c r="UO32" s="99">
        <v>47.600890243902498</v>
      </c>
      <c r="UP32" s="99">
        <v>47.671219512195101</v>
      </c>
      <c r="UQ32" s="99">
        <v>47.741548780487797</v>
      </c>
      <c r="UR32" s="99">
        <v>47.8118780487805</v>
      </c>
      <c r="US32" s="99">
        <v>47.882207317073203</v>
      </c>
      <c r="UT32" s="99">
        <v>47.952536585365898</v>
      </c>
    </row>
    <row r="33" spans="1:566" x14ac:dyDescent="0.2">
      <c r="A33" s="89">
        <v>13.5</v>
      </c>
      <c r="B33" s="90">
        <v>8.19</v>
      </c>
      <c r="C33" s="90">
        <v>8.26</v>
      </c>
      <c r="D33" s="90">
        <v>8.33</v>
      </c>
      <c r="E33" s="90">
        <v>8.4</v>
      </c>
      <c r="F33" s="90">
        <v>8.4700000000000006</v>
      </c>
      <c r="G33" s="90">
        <v>8.5399999999999991</v>
      </c>
      <c r="H33" s="90">
        <v>8.61</v>
      </c>
      <c r="I33" s="90">
        <v>8.68</v>
      </c>
      <c r="J33" s="90">
        <v>8.75</v>
      </c>
      <c r="K33" s="90">
        <v>8.82</v>
      </c>
      <c r="L33" s="90">
        <v>8.89</v>
      </c>
      <c r="M33" s="90">
        <v>8.9600000000000009</v>
      </c>
      <c r="N33" s="90">
        <v>9.0299999999999994</v>
      </c>
      <c r="O33" s="90">
        <v>9.1</v>
      </c>
      <c r="P33" s="90">
        <v>9.17</v>
      </c>
      <c r="Q33" s="90">
        <v>9.24</v>
      </c>
      <c r="R33" s="90">
        <v>9.31</v>
      </c>
      <c r="S33" s="90">
        <v>9.3800000000000008</v>
      </c>
      <c r="T33" s="90">
        <v>9.4499999999999993</v>
      </c>
      <c r="U33" s="91">
        <v>9.52</v>
      </c>
      <c r="V33" s="90">
        <v>9.59</v>
      </c>
      <c r="W33" s="90">
        <v>9.65</v>
      </c>
      <c r="X33" s="90">
        <v>9.7200000000000006</v>
      </c>
      <c r="Y33" s="90">
        <v>9.7899999999999991</v>
      </c>
      <c r="Z33" s="90">
        <v>9.86</v>
      </c>
      <c r="AA33" s="90">
        <v>9.93</v>
      </c>
      <c r="AB33" s="90">
        <v>10</v>
      </c>
      <c r="AC33" s="90">
        <v>10.07</v>
      </c>
      <c r="AD33" s="90">
        <v>10.14</v>
      </c>
      <c r="AE33" s="90">
        <v>10.210000000000001</v>
      </c>
      <c r="AF33" s="90">
        <v>10.28</v>
      </c>
      <c r="AG33" s="90">
        <v>10.35</v>
      </c>
      <c r="AH33" s="90">
        <v>10.42</v>
      </c>
      <c r="AI33" s="90">
        <v>10.49</v>
      </c>
      <c r="AJ33" s="90">
        <v>10.56</v>
      </c>
      <c r="AK33" s="90">
        <v>10.63</v>
      </c>
      <c r="AL33" s="90">
        <v>10.7</v>
      </c>
      <c r="AM33" s="90">
        <v>10.77</v>
      </c>
      <c r="AN33" s="90">
        <v>10.84</v>
      </c>
      <c r="AO33" s="91">
        <v>10.91</v>
      </c>
      <c r="AP33" s="90">
        <v>10.977576923076899</v>
      </c>
      <c r="AQ33" s="90">
        <v>11.047202626641701</v>
      </c>
      <c r="AR33" s="90">
        <v>11.116828330206401</v>
      </c>
      <c r="AS33" s="90">
        <v>11.186454033771099</v>
      </c>
      <c r="AT33" s="90">
        <v>11.256079737335799</v>
      </c>
      <c r="AU33" s="90">
        <v>11.325705440900601</v>
      </c>
      <c r="AV33" s="90">
        <v>11.395331144465301</v>
      </c>
      <c r="AW33" s="90">
        <v>11.464956848030001</v>
      </c>
      <c r="AX33" s="90">
        <v>11.534582551594699</v>
      </c>
      <c r="AY33" s="90">
        <v>11.6042082551595</v>
      </c>
      <c r="AZ33" s="90">
        <v>11.673833958724201</v>
      </c>
      <c r="BA33" s="90">
        <v>11.743459662288901</v>
      </c>
      <c r="BB33" s="90">
        <v>11.8130853658537</v>
      </c>
      <c r="BC33" s="90">
        <v>11.8827110694184</v>
      </c>
      <c r="BD33" s="90">
        <v>11.9523367729831</v>
      </c>
      <c r="BE33" s="90">
        <v>12.021962476547801</v>
      </c>
      <c r="BF33" s="90">
        <v>12.0915881801126</v>
      </c>
      <c r="BG33" s="90">
        <v>12.1612138836773</v>
      </c>
      <c r="BH33" s="90">
        <v>12.230839587242</v>
      </c>
      <c r="BI33" s="91">
        <v>12.3004652908068</v>
      </c>
      <c r="BJ33" s="90">
        <v>12.3700909943715</v>
      </c>
      <c r="BK33" s="99">
        <v>12.4397166979362</v>
      </c>
      <c r="BL33" s="99">
        <v>12.5093424015009</v>
      </c>
      <c r="BM33" s="99">
        <v>12.5789681050657</v>
      </c>
      <c r="BN33" s="99">
        <v>12.6485938086304</v>
      </c>
      <c r="BO33" s="99">
        <v>12.7182195121951</v>
      </c>
      <c r="BP33" s="99">
        <v>12.7878452157599</v>
      </c>
      <c r="BQ33" s="99">
        <v>12.8574709193246</v>
      </c>
      <c r="BR33" s="99">
        <v>12.9270966228893</v>
      </c>
      <c r="BS33" s="99">
        <v>12.996722326454</v>
      </c>
      <c r="BT33" s="99">
        <v>13.0663480300188</v>
      </c>
      <c r="BU33" s="99">
        <v>13.1359737335835</v>
      </c>
      <c r="BV33" s="99">
        <v>13.2055994371482</v>
      </c>
      <c r="BW33" s="99">
        <v>13.2752251407129</v>
      </c>
      <c r="BX33" s="99">
        <v>13.344850844277699</v>
      </c>
      <c r="BY33" s="99">
        <v>13.4144765478424</v>
      </c>
      <c r="BZ33" s="99">
        <v>13.4841022514071</v>
      </c>
      <c r="CA33" s="99">
        <v>13.553727954971899</v>
      </c>
      <c r="CB33" s="99">
        <v>13.623353658536599</v>
      </c>
      <c r="CC33" s="99">
        <v>13.692979362101299</v>
      </c>
      <c r="CD33" s="99">
        <v>13.762605065666</v>
      </c>
      <c r="CE33" s="99">
        <v>13.832230769230801</v>
      </c>
      <c r="CF33" s="99">
        <v>13.901856472795499</v>
      </c>
      <c r="CG33" s="99">
        <v>13.971482176360199</v>
      </c>
      <c r="CH33" s="99">
        <v>14.041107879925001</v>
      </c>
      <c r="CI33" s="99">
        <v>14.110733583489701</v>
      </c>
      <c r="CJ33" s="99">
        <v>14.180359287054401</v>
      </c>
      <c r="CK33" s="99">
        <v>14.249984990619099</v>
      </c>
      <c r="CL33" s="99">
        <v>14.319610694183901</v>
      </c>
      <c r="CM33" s="99">
        <v>14.389236397748601</v>
      </c>
      <c r="CN33" s="99">
        <v>14.458862101313301</v>
      </c>
      <c r="CO33" s="99">
        <v>14.528487804878001</v>
      </c>
      <c r="CP33" s="99">
        <v>14.5981135084428</v>
      </c>
      <c r="CQ33" s="99">
        <v>14.667739212007501</v>
      </c>
      <c r="CR33" s="99">
        <v>14.737364915572201</v>
      </c>
      <c r="CS33" s="99">
        <v>14.806990619137</v>
      </c>
      <c r="CT33" s="99">
        <v>14.8766163227017</v>
      </c>
      <c r="CU33" s="99">
        <v>14.9462420262664</v>
      </c>
      <c r="CV33" s="99">
        <v>15.015867729831101</v>
      </c>
      <c r="CW33" s="99">
        <v>15.0854934333959</v>
      </c>
      <c r="CX33" s="99">
        <v>15.1551191369606</v>
      </c>
      <c r="CY33" s="99">
        <v>15.2247448405253</v>
      </c>
      <c r="CZ33" s="99">
        <v>15.2943705440901</v>
      </c>
      <c r="DA33" s="99">
        <v>15.3639962476548</v>
      </c>
      <c r="DB33" s="99">
        <v>15.4336219512195</v>
      </c>
      <c r="DC33" s="99">
        <v>15.5032476547842</v>
      </c>
      <c r="DD33" s="99">
        <v>15.572873358349</v>
      </c>
      <c r="DE33" s="99">
        <v>15.6424990619137</v>
      </c>
      <c r="DF33" s="99">
        <v>15.7121247654784</v>
      </c>
      <c r="DG33" s="99">
        <v>15.7817504690432</v>
      </c>
      <c r="DH33" s="99">
        <v>15.8513761726079</v>
      </c>
      <c r="DI33" s="99">
        <v>15.9210018761726</v>
      </c>
      <c r="DJ33" s="99">
        <v>15.9906275797373</v>
      </c>
      <c r="DK33" s="99">
        <v>16.060253283302099</v>
      </c>
      <c r="DL33" s="99">
        <v>16.1298789868668</v>
      </c>
      <c r="DM33" s="99">
        <v>16.1995046904315</v>
      </c>
      <c r="DN33" s="99">
        <v>16.2691303939962</v>
      </c>
      <c r="DO33" s="99">
        <v>16.338756097560999</v>
      </c>
      <c r="DP33" s="99">
        <v>16.408381801125699</v>
      </c>
      <c r="DQ33" s="99">
        <v>16.4780075046904</v>
      </c>
      <c r="DR33" s="99">
        <v>16.547633208255199</v>
      </c>
      <c r="DS33" s="99">
        <v>16.617258911819899</v>
      </c>
      <c r="DT33" s="99">
        <v>16.686884615384599</v>
      </c>
      <c r="DU33" s="99">
        <v>16.756510318949299</v>
      </c>
      <c r="DV33" s="99">
        <v>16.826136022514099</v>
      </c>
      <c r="DW33" s="99">
        <v>16.895761726078799</v>
      </c>
      <c r="DX33" s="99">
        <v>16.965387429643499</v>
      </c>
      <c r="DY33" s="99">
        <v>17.035013133208299</v>
      </c>
      <c r="DZ33" s="99">
        <v>17.104638836772999</v>
      </c>
      <c r="EA33" s="99">
        <v>17.174264540337699</v>
      </c>
      <c r="EB33" s="99">
        <v>17.243890243902399</v>
      </c>
      <c r="EC33" s="99">
        <v>17.313515947467199</v>
      </c>
      <c r="ED33" s="99">
        <v>17.383141651031899</v>
      </c>
      <c r="EE33" s="99">
        <v>17.452767354596599</v>
      </c>
      <c r="EF33" s="99">
        <v>17.522393058161398</v>
      </c>
      <c r="EG33" s="99">
        <v>17.592018761726099</v>
      </c>
      <c r="EH33" s="99">
        <v>17.661644465290799</v>
      </c>
      <c r="EI33" s="99">
        <v>17.731270168855499</v>
      </c>
      <c r="EJ33" s="99">
        <v>17.800895872420298</v>
      </c>
      <c r="EK33" s="99">
        <v>17.870521575984998</v>
      </c>
      <c r="EL33" s="99">
        <v>17.940147279549699</v>
      </c>
      <c r="EM33" s="99">
        <v>18.009772983114399</v>
      </c>
      <c r="EN33" s="99">
        <v>18.079398686679198</v>
      </c>
      <c r="EO33" s="99">
        <v>18.149024390243898</v>
      </c>
      <c r="EP33" s="99">
        <v>18.218650093808598</v>
      </c>
      <c r="EQ33" s="99">
        <v>18.288275797373402</v>
      </c>
      <c r="ER33" s="99">
        <v>18.357901500938102</v>
      </c>
      <c r="ES33" s="99">
        <v>18.427527204502798</v>
      </c>
      <c r="ET33" s="99">
        <v>18.497152908067498</v>
      </c>
      <c r="EU33" s="99">
        <v>18.566778611632301</v>
      </c>
      <c r="EV33" s="99">
        <v>18.636404315197002</v>
      </c>
      <c r="EW33" s="99">
        <v>18.706030018761702</v>
      </c>
      <c r="EX33" s="99">
        <v>18.775655722326398</v>
      </c>
      <c r="EY33" s="99">
        <v>18.845281425891201</v>
      </c>
      <c r="EZ33" s="99">
        <v>18.914907129455901</v>
      </c>
      <c r="FA33" s="99">
        <v>18.984532833020602</v>
      </c>
      <c r="FB33" s="99">
        <v>19.054158536585401</v>
      </c>
      <c r="FC33" s="99">
        <v>19.123784240150101</v>
      </c>
      <c r="FD33" s="99">
        <v>19.193409943714801</v>
      </c>
      <c r="FE33" s="99">
        <v>19.263035647279501</v>
      </c>
      <c r="FF33" s="99">
        <v>19.332661350844301</v>
      </c>
      <c r="FG33" s="99">
        <v>19.402287054409001</v>
      </c>
      <c r="FH33" s="99">
        <v>19.471912757973701</v>
      </c>
      <c r="FI33" s="99">
        <v>19.541538461538501</v>
      </c>
      <c r="FJ33" s="99">
        <v>19.611164165103201</v>
      </c>
      <c r="FK33" s="99">
        <v>19.680789868667901</v>
      </c>
      <c r="FL33" s="99">
        <v>19.750415572232601</v>
      </c>
      <c r="FM33" s="99">
        <v>19.820041275797401</v>
      </c>
      <c r="FN33" s="99">
        <v>19.889666979362101</v>
      </c>
      <c r="FO33" s="99">
        <v>19.959292682926801</v>
      </c>
      <c r="FP33" s="99">
        <v>20.028918386491601</v>
      </c>
      <c r="FQ33" s="99">
        <v>20.098544090056301</v>
      </c>
      <c r="FR33" s="99">
        <v>20.168169793621001</v>
      </c>
      <c r="FS33" s="99">
        <v>20.237795497185701</v>
      </c>
      <c r="FT33" s="99">
        <v>20.3074212007505</v>
      </c>
      <c r="FU33" s="99">
        <v>20.3770469043152</v>
      </c>
      <c r="FV33" s="99">
        <v>20.446672607879901</v>
      </c>
      <c r="FW33" s="99">
        <v>20.516298311444601</v>
      </c>
      <c r="FX33" s="99">
        <v>20.5859240150094</v>
      </c>
      <c r="FY33" s="99">
        <v>20.6555497185741</v>
      </c>
      <c r="FZ33" s="99">
        <v>20.7251754221388</v>
      </c>
      <c r="GA33" s="99">
        <v>20.7948011257036</v>
      </c>
      <c r="GB33" s="99">
        <v>20.8644268292683</v>
      </c>
      <c r="GC33" s="99">
        <v>20.934052532833</v>
      </c>
      <c r="GD33" s="99">
        <v>21.0036782363977</v>
      </c>
      <c r="GE33" s="99">
        <v>21.0733039399625</v>
      </c>
      <c r="GF33" s="99">
        <v>21.1429296435272</v>
      </c>
      <c r="GG33" s="99">
        <v>21.2125553470919</v>
      </c>
      <c r="GH33" s="99">
        <v>21.2821810506567</v>
      </c>
      <c r="GI33" s="99">
        <v>21.3518067542214</v>
      </c>
      <c r="GJ33" s="99">
        <v>21.4214324577861</v>
      </c>
      <c r="GK33" s="99">
        <v>21.4910581613508</v>
      </c>
      <c r="GL33" s="99">
        <v>21.5606838649156</v>
      </c>
      <c r="GM33" s="99">
        <v>21.6303095684803</v>
      </c>
      <c r="GN33" s="99">
        <v>21.699935272045</v>
      </c>
      <c r="GO33" s="99">
        <v>21.769560975609799</v>
      </c>
      <c r="GP33" s="99">
        <v>21.8391866791745</v>
      </c>
      <c r="GQ33" s="99">
        <v>21.9088123827392</v>
      </c>
      <c r="GR33" s="99">
        <v>21.9784380863039</v>
      </c>
      <c r="GS33" s="99">
        <v>22.048063789868699</v>
      </c>
      <c r="GT33" s="99">
        <v>22.117689493433399</v>
      </c>
      <c r="GU33" s="99">
        <v>22.1873151969981</v>
      </c>
      <c r="GV33" s="99">
        <v>22.2569409005628</v>
      </c>
      <c r="GW33" s="99">
        <v>22.326566604127599</v>
      </c>
      <c r="GX33" s="99">
        <v>22.396192307692299</v>
      </c>
      <c r="GY33" s="99">
        <v>22.465818011256999</v>
      </c>
      <c r="GZ33" s="99">
        <v>22.535443714821799</v>
      </c>
      <c r="HA33" s="99">
        <v>22.605069418386499</v>
      </c>
      <c r="HB33" s="99">
        <v>22.674695121951199</v>
      </c>
      <c r="HC33" s="99">
        <v>22.744320825515899</v>
      </c>
      <c r="HD33" s="99">
        <v>22.813946529080699</v>
      </c>
      <c r="HE33" s="99">
        <v>22.883572232645399</v>
      </c>
      <c r="HF33" s="99">
        <v>22.953197936210099</v>
      </c>
      <c r="HG33" s="99">
        <v>23.022823639774899</v>
      </c>
      <c r="HH33" s="99">
        <v>23.092449343339599</v>
      </c>
      <c r="HI33" s="99">
        <v>23.162075046904299</v>
      </c>
      <c r="HJ33" s="99">
        <v>23.231700750468999</v>
      </c>
      <c r="HK33" s="99">
        <v>23.301326454033799</v>
      </c>
      <c r="HL33" s="99">
        <v>23.370952157598499</v>
      </c>
      <c r="HM33" s="99">
        <v>23.440577861163199</v>
      </c>
      <c r="HN33" s="99">
        <v>23.510203564727998</v>
      </c>
      <c r="HO33" s="99">
        <v>23.579829268292698</v>
      </c>
      <c r="HP33" s="99">
        <v>23.649454971857399</v>
      </c>
      <c r="HQ33" s="99">
        <v>23.719080675422099</v>
      </c>
      <c r="HR33" s="99">
        <v>23.788706378986902</v>
      </c>
      <c r="HS33" s="99">
        <v>23.858332082551598</v>
      </c>
      <c r="HT33" s="99">
        <v>23.927957786116298</v>
      </c>
      <c r="HU33" s="99">
        <v>23.997583489680999</v>
      </c>
      <c r="HV33" s="99">
        <v>24.067209193245802</v>
      </c>
      <c r="HW33" s="99">
        <v>24.136834896810502</v>
      </c>
      <c r="HX33" s="99">
        <v>24.206460600375198</v>
      </c>
      <c r="HY33" s="99">
        <v>24.276086303940001</v>
      </c>
      <c r="HZ33" s="99">
        <v>24.345712007504702</v>
      </c>
      <c r="IA33" s="99">
        <v>24.415337711069402</v>
      </c>
      <c r="IB33" s="99">
        <v>24.484963414634102</v>
      </c>
      <c r="IC33" s="99">
        <v>24.554589118198901</v>
      </c>
      <c r="ID33" s="99">
        <v>24.624214821763601</v>
      </c>
      <c r="IE33" s="99">
        <v>24.693840525328302</v>
      </c>
      <c r="IF33" s="99">
        <v>24.763466228893101</v>
      </c>
      <c r="IG33" s="99">
        <v>24.833091932457801</v>
      </c>
      <c r="IH33" s="99">
        <v>24.902717636022501</v>
      </c>
      <c r="II33" s="99">
        <v>24.972343339587201</v>
      </c>
      <c r="IJ33" s="99">
        <v>25.041969043152001</v>
      </c>
      <c r="IK33" s="99">
        <v>25.111594746716701</v>
      </c>
      <c r="IL33" s="99">
        <v>25.181220450281401</v>
      </c>
      <c r="IM33" s="99">
        <v>25.250846153846201</v>
      </c>
      <c r="IN33" s="99">
        <v>25.320471857410901</v>
      </c>
      <c r="IO33" s="99">
        <v>25.390097560975601</v>
      </c>
      <c r="IP33" s="99">
        <v>25.459723264540301</v>
      </c>
      <c r="IQ33" s="99">
        <v>25.529348968105101</v>
      </c>
      <c r="IR33" s="99">
        <v>25.598974671669801</v>
      </c>
      <c r="IS33" s="99">
        <v>25.668600375234501</v>
      </c>
      <c r="IT33" s="99">
        <v>25.738226078799201</v>
      </c>
      <c r="IU33" s="99">
        <v>25.807851782364001</v>
      </c>
      <c r="IV33" s="99">
        <v>25.877477485928701</v>
      </c>
      <c r="IW33" s="99">
        <v>25.947103189493401</v>
      </c>
      <c r="IX33" s="99">
        <v>26.0167288930582</v>
      </c>
      <c r="IY33" s="99">
        <v>26.0863545966229</v>
      </c>
      <c r="IZ33" s="99">
        <v>26.155980300187601</v>
      </c>
      <c r="JA33" s="99">
        <v>26.225606003752301</v>
      </c>
      <c r="JB33" s="99">
        <v>26.2952317073171</v>
      </c>
      <c r="JC33" s="99">
        <v>26.3648574108818</v>
      </c>
      <c r="JD33" s="99">
        <v>26.4344831144465</v>
      </c>
      <c r="JE33" s="99">
        <v>26.5041088180113</v>
      </c>
      <c r="JF33" s="99">
        <v>26.573734521576</v>
      </c>
      <c r="JG33" s="99">
        <v>26.6433602251407</v>
      </c>
      <c r="JH33" s="99">
        <v>26.7129859287054</v>
      </c>
      <c r="JI33" s="99">
        <v>26.7826116322702</v>
      </c>
      <c r="JJ33" s="99">
        <v>26.8522373358349</v>
      </c>
      <c r="JK33" s="99">
        <v>26.9218630393996</v>
      </c>
      <c r="JL33" s="99">
        <v>26.9914887429643</v>
      </c>
      <c r="JM33" s="99">
        <v>27.0611144465291</v>
      </c>
      <c r="JN33" s="99">
        <v>27.1307401500938</v>
      </c>
      <c r="JO33" s="99">
        <v>27.2003658536585</v>
      </c>
      <c r="JP33" s="99">
        <v>27.2699915572233</v>
      </c>
      <c r="JQ33" s="99">
        <v>27.339617260788</v>
      </c>
      <c r="JR33" s="99">
        <v>27.4092429643527</v>
      </c>
      <c r="JS33" s="99">
        <v>27.4788686679174</v>
      </c>
      <c r="JT33" s="99">
        <v>27.548494371482199</v>
      </c>
      <c r="JU33" s="99">
        <v>27.6181200750469</v>
      </c>
      <c r="JV33" s="99">
        <v>27.6877457786116</v>
      </c>
      <c r="JW33" s="99">
        <v>27.757371482176399</v>
      </c>
      <c r="JX33" s="99">
        <v>27.826997185741099</v>
      </c>
      <c r="JY33" s="99">
        <v>27.896622889305799</v>
      </c>
      <c r="JZ33" s="99">
        <v>27.9662485928705</v>
      </c>
      <c r="KA33" s="99">
        <v>28.035874296435299</v>
      </c>
      <c r="KB33" s="99">
        <v>28.105499999999999</v>
      </c>
      <c r="KC33" s="99">
        <v>28.175125703564699</v>
      </c>
      <c r="KD33" s="99">
        <v>28.244751407129499</v>
      </c>
      <c r="KE33" s="99">
        <v>28.314377110694199</v>
      </c>
      <c r="KF33" s="99">
        <v>28.384002814258899</v>
      </c>
      <c r="KG33" s="99">
        <v>28.453628517823599</v>
      </c>
      <c r="KH33" s="99">
        <v>28.523254221388399</v>
      </c>
      <c r="KI33" s="99">
        <v>28.592879924953099</v>
      </c>
      <c r="KJ33" s="99">
        <v>28.662505628517799</v>
      </c>
      <c r="KK33" s="99">
        <v>28.732131332082499</v>
      </c>
      <c r="KL33" s="99">
        <v>28.801757035647299</v>
      </c>
      <c r="KM33" s="99">
        <v>28.871382739211999</v>
      </c>
      <c r="KN33" s="99">
        <v>28.941008442776699</v>
      </c>
      <c r="KO33" s="99">
        <v>29.010634146341499</v>
      </c>
      <c r="KP33" s="99">
        <v>29.080259849906199</v>
      </c>
      <c r="KQ33" s="99">
        <v>29.149885553470899</v>
      </c>
      <c r="KR33" s="99">
        <v>29.219511257035599</v>
      </c>
      <c r="KS33" s="99">
        <v>29.289136960600398</v>
      </c>
      <c r="KT33" s="99">
        <v>29.358762664165098</v>
      </c>
      <c r="KU33" s="99">
        <v>29.428388367729799</v>
      </c>
      <c r="KV33" s="99">
        <v>29.498014071294602</v>
      </c>
      <c r="KW33" s="99">
        <v>29.567639774859298</v>
      </c>
      <c r="KX33" s="99">
        <v>29.637265478423998</v>
      </c>
      <c r="KY33" s="99">
        <v>29.706891181988698</v>
      </c>
      <c r="KZ33" s="99">
        <v>29.776516885553502</v>
      </c>
      <c r="LA33" s="99">
        <v>29.846142589118202</v>
      </c>
      <c r="LB33" s="99">
        <v>29.915768292682898</v>
      </c>
      <c r="LC33" s="99">
        <v>29.985393996247701</v>
      </c>
      <c r="LD33" s="99">
        <v>30.055019699812402</v>
      </c>
      <c r="LE33" s="99">
        <v>30.124645403377102</v>
      </c>
      <c r="LF33" s="99">
        <v>30.194271106941802</v>
      </c>
      <c r="LG33" s="99">
        <v>30.263896810506601</v>
      </c>
      <c r="LH33" s="99">
        <v>30.333522514071301</v>
      </c>
      <c r="LI33" s="99">
        <v>30.403148217636002</v>
      </c>
      <c r="LJ33" s="99">
        <v>30.472773921200702</v>
      </c>
      <c r="LK33" s="99">
        <v>30.542399624765501</v>
      </c>
      <c r="LL33" s="99">
        <v>30.612025328330201</v>
      </c>
      <c r="LM33" s="99">
        <v>30.681651031894901</v>
      </c>
      <c r="LN33" s="99">
        <v>30.751276735459701</v>
      </c>
      <c r="LO33" s="99">
        <v>30.820902439024401</v>
      </c>
      <c r="LP33" s="99">
        <v>30.890528142589101</v>
      </c>
      <c r="LQ33" s="99">
        <v>30.960153846153801</v>
      </c>
      <c r="LR33" s="99">
        <v>31.029779549718601</v>
      </c>
      <c r="LS33" s="99">
        <v>31.099405253283301</v>
      </c>
      <c r="LT33" s="99">
        <v>31.169030956848001</v>
      </c>
      <c r="LU33" s="99">
        <v>31.238656660412801</v>
      </c>
      <c r="LV33" s="99">
        <v>31.308282363977501</v>
      </c>
      <c r="LW33" s="99">
        <v>31.377908067542201</v>
      </c>
      <c r="LX33" s="99">
        <v>31.447533771106901</v>
      </c>
      <c r="LY33" s="99">
        <v>31.517159474671701</v>
      </c>
      <c r="LZ33" s="99">
        <v>31.586785178236401</v>
      </c>
      <c r="MA33" s="99">
        <v>31.656410881801101</v>
      </c>
      <c r="MB33" s="99">
        <v>31.726036585365801</v>
      </c>
      <c r="MC33" s="99">
        <v>31.7956622889306</v>
      </c>
      <c r="MD33" s="99">
        <v>31.865287992495301</v>
      </c>
      <c r="ME33" s="99">
        <v>31.934913696060001</v>
      </c>
      <c r="MF33" s="99">
        <v>32.004539399624797</v>
      </c>
      <c r="MG33" s="99">
        <v>32.0741651031895</v>
      </c>
      <c r="MH33" s="99">
        <v>32.143790806754197</v>
      </c>
      <c r="MI33" s="99">
        <v>32.213416510318901</v>
      </c>
      <c r="MJ33" s="99">
        <v>32.283042213883697</v>
      </c>
      <c r="MK33" s="99">
        <v>32.3526679174484</v>
      </c>
      <c r="ML33" s="99">
        <v>32.422293621013097</v>
      </c>
      <c r="MM33" s="99">
        <v>32.4919193245779</v>
      </c>
      <c r="MN33" s="99">
        <v>32.561545028142604</v>
      </c>
      <c r="MO33" s="99">
        <v>32.6311707317073</v>
      </c>
      <c r="MP33" s="99">
        <v>32.700796435271997</v>
      </c>
      <c r="MQ33" s="99">
        <v>32.7704221388368</v>
      </c>
      <c r="MR33" s="99">
        <v>32.840047842401503</v>
      </c>
      <c r="MS33" s="99">
        <v>32.9096735459662</v>
      </c>
      <c r="MT33" s="99">
        <v>32.979299249531003</v>
      </c>
      <c r="MU33" s="99">
        <v>33.0489249530957</v>
      </c>
      <c r="MV33" s="99">
        <v>33.118550656660403</v>
      </c>
      <c r="MW33" s="99">
        <v>33.1881763602251</v>
      </c>
      <c r="MX33" s="99">
        <v>33.257802063789903</v>
      </c>
      <c r="MY33" s="99">
        <v>33.3274277673546</v>
      </c>
      <c r="MZ33" s="99">
        <v>33.397053470919303</v>
      </c>
      <c r="NA33" s="99">
        <v>33.466679174484</v>
      </c>
      <c r="NB33" s="99">
        <v>33.536304878048803</v>
      </c>
      <c r="NC33" s="99">
        <v>33.605930581613499</v>
      </c>
      <c r="ND33" s="99">
        <v>33.675556285178203</v>
      </c>
      <c r="NE33" s="99">
        <v>33.745181988742999</v>
      </c>
      <c r="NF33" s="99">
        <v>33.814807692307703</v>
      </c>
      <c r="NG33" s="99">
        <v>33.884433395872399</v>
      </c>
      <c r="NH33" s="99">
        <v>33.954059099437103</v>
      </c>
      <c r="NI33" s="99">
        <v>34.023684803001899</v>
      </c>
      <c r="NJ33" s="99">
        <v>34.093310506566603</v>
      </c>
      <c r="NK33" s="99">
        <v>34.162936210131299</v>
      </c>
      <c r="NL33" s="99">
        <v>34.232561913696102</v>
      </c>
      <c r="NM33" s="99">
        <v>34.302187617260799</v>
      </c>
      <c r="NN33" s="99">
        <v>34.371813320825503</v>
      </c>
      <c r="NO33" s="99">
        <v>34.441439024390199</v>
      </c>
      <c r="NP33" s="99">
        <v>34.511064727955002</v>
      </c>
      <c r="NQ33" s="99">
        <v>34.580690431519699</v>
      </c>
      <c r="NR33" s="99">
        <v>34.650316135084402</v>
      </c>
      <c r="NS33" s="99">
        <v>34.719941838649198</v>
      </c>
      <c r="NT33" s="99">
        <v>34.789567542213902</v>
      </c>
      <c r="NU33" s="99">
        <v>34.859193245778599</v>
      </c>
      <c r="NV33" s="99">
        <v>34.928818949343302</v>
      </c>
      <c r="NW33" s="99">
        <v>34.998444652908098</v>
      </c>
      <c r="NX33" s="99">
        <v>35.068070356472802</v>
      </c>
      <c r="NY33" s="99">
        <v>35.137696060037499</v>
      </c>
      <c r="NZ33" s="99">
        <v>35.207321763602202</v>
      </c>
      <c r="OA33" s="99">
        <v>35.276947467166998</v>
      </c>
      <c r="OB33" s="99">
        <v>35.346573170731702</v>
      </c>
      <c r="OC33" s="99">
        <v>35.416198874296398</v>
      </c>
      <c r="OD33" s="99">
        <v>35.485824577861202</v>
      </c>
      <c r="OE33" s="99">
        <v>35.555450281425898</v>
      </c>
      <c r="OF33" s="99">
        <v>35.625075984990602</v>
      </c>
      <c r="OG33" s="99">
        <v>35.694701688555298</v>
      </c>
      <c r="OH33" s="99">
        <v>35.764327392120101</v>
      </c>
      <c r="OI33" s="99">
        <v>35.833953095684798</v>
      </c>
      <c r="OJ33" s="99">
        <v>35.903578799249502</v>
      </c>
      <c r="OK33" s="99">
        <v>35.973204502814298</v>
      </c>
      <c r="OL33" s="99">
        <v>36.042830206379001</v>
      </c>
      <c r="OM33" s="99">
        <v>36.112455909943698</v>
      </c>
      <c r="ON33" s="99">
        <v>36.182081613508402</v>
      </c>
      <c r="OO33" s="99">
        <v>36.251707317073198</v>
      </c>
      <c r="OP33" s="99">
        <v>36.321333020637901</v>
      </c>
      <c r="OQ33" s="99">
        <v>36.390958724202598</v>
      </c>
      <c r="OR33" s="99">
        <v>36.460584427767401</v>
      </c>
      <c r="OS33" s="99">
        <v>36.530210131332097</v>
      </c>
      <c r="OT33" s="99">
        <v>36.599835834896801</v>
      </c>
      <c r="OU33" s="99">
        <v>36.669461538461498</v>
      </c>
      <c r="OV33" s="99">
        <v>36.739087242026301</v>
      </c>
      <c r="OW33" s="99">
        <v>36.808712945590997</v>
      </c>
      <c r="OX33" s="99">
        <v>36.878338649155701</v>
      </c>
      <c r="OY33" s="99">
        <v>36.947964352720398</v>
      </c>
      <c r="OZ33" s="99">
        <v>37.017590056285201</v>
      </c>
      <c r="PA33" s="99">
        <v>37.087215759849897</v>
      </c>
      <c r="PB33" s="99">
        <v>37.156841463414601</v>
      </c>
      <c r="PC33" s="99">
        <v>37.226467166979397</v>
      </c>
      <c r="PD33" s="99">
        <v>37.296092870544101</v>
      </c>
      <c r="PE33" s="99">
        <v>37.365718574108797</v>
      </c>
      <c r="PF33" s="99">
        <v>37.435344277673501</v>
      </c>
      <c r="PG33" s="99">
        <v>37.504969981238297</v>
      </c>
      <c r="PH33" s="99">
        <v>37.574595684803</v>
      </c>
      <c r="PI33" s="99">
        <v>37.644221388367697</v>
      </c>
      <c r="PJ33" s="99">
        <v>37.7138470919325</v>
      </c>
      <c r="PK33" s="99">
        <v>37.783472795497197</v>
      </c>
      <c r="PL33" s="99">
        <v>37.8530984990619</v>
      </c>
      <c r="PM33" s="99">
        <v>37.922724202626597</v>
      </c>
      <c r="PN33" s="99">
        <v>37.9923499061914</v>
      </c>
      <c r="PO33" s="99">
        <v>38.061975609756097</v>
      </c>
      <c r="PP33" s="99">
        <v>38.1316013133208</v>
      </c>
      <c r="PQ33" s="99">
        <v>38.201227016885497</v>
      </c>
      <c r="PR33" s="99">
        <v>38.2708527204503</v>
      </c>
      <c r="PS33" s="99">
        <v>38.340478424014997</v>
      </c>
      <c r="PT33" s="99">
        <v>38.4101041275797</v>
      </c>
      <c r="PU33" s="99">
        <v>38.479729831144503</v>
      </c>
      <c r="PV33" s="99">
        <v>38.5493555347092</v>
      </c>
      <c r="PW33" s="99">
        <v>38.618981238273904</v>
      </c>
      <c r="PX33" s="99">
        <v>38.6886069418386</v>
      </c>
      <c r="PY33" s="99">
        <v>38.758232645403403</v>
      </c>
      <c r="PZ33" s="99">
        <v>38.8278583489681</v>
      </c>
      <c r="QA33" s="99">
        <v>38.897484052532803</v>
      </c>
      <c r="QB33" s="99">
        <v>38.967109756097599</v>
      </c>
      <c r="QC33" s="99">
        <v>39.036735459662303</v>
      </c>
      <c r="QD33" s="99">
        <v>39.106361163227</v>
      </c>
      <c r="QE33" s="99">
        <v>39.175986866791703</v>
      </c>
      <c r="QF33" s="99">
        <v>39.245612570356499</v>
      </c>
      <c r="QG33" s="99">
        <v>39.315238273921203</v>
      </c>
      <c r="QH33" s="99">
        <v>39.3848639774859</v>
      </c>
      <c r="QI33" s="99">
        <v>39.454489681050703</v>
      </c>
      <c r="QJ33" s="99">
        <v>39.524115384615399</v>
      </c>
      <c r="QK33" s="99">
        <v>39.593741088180103</v>
      </c>
      <c r="QL33" s="99">
        <v>39.663366791744799</v>
      </c>
      <c r="QM33" s="99">
        <v>39.732992495309603</v>
      </c>
      <c r="QN33" s="99">
        <v>39.802618198874299</v>
      </c>
      <c r="QO33" s="99">
        <v>39.872243902439003</v>
      </c>
      <c r="QP33" s="99">
        <v>39.941869606003699</v>
      </c>
      <c r="QQ33" s="99">
        <v>40.011495309568502</v>
      </c>
      <c r="QR33" s="99">
        <v>40.081121013133199</v>
      </c>
      <c r="QS33" s="99">
        <v>40.150746716697903</v>
      </c>
      <c r="QT33" s="99">
        <v>40.220372420262699</v>
      </c>
      <c r="QU33" s="99">
        <v>40.289998123827402</v>
      </c>
      <c r="QV33" s="99">
        <v>40.359623827392099</v>
      </c>
      <c r="QW33" s="99">
        <v>40.429249530956803</v>
      </c>
      <c r="QX33" s="99">
        <v>40.498875234521599</v>
      </c>
      <c r="QY33" s="99">
        <v>40.568500938086302</v>
      </c>
      <c r="QZ33" s="99">
        <v>40.638126641650999</v>
      </c>
      <c r="RA33" s="99">
        <v>40.707752345215802</v>
      </c>
      <c r="RB33" s="99">
        <v>40.777378048780498</v>
      </c>
      <c r="RC33" s="99">
        <v>40.847003752345202</v>
      </c>
      <c r="RD33" s="99">
        <v>40.916629455909899</v>
      </c>
      <c r="RE33" s="99">
        <v>40.986255159474702</v>
      </c>
      <c r="RF33" s="99">
        <v>41.055880863039398</v>
      </c>
      <c r="RG33" s="99">
        <v>41.125506566604102</v>
      </c>
      <c r="RH33" s="99">
        <v>41.195132270168898</v>
      </c>
      <c r="RI33" s="99">
        <v>41.264757973733602</v>
      </c>
      <c r="RJ33" s="99">
        <v>41.334383677298298</v>
      </c>
      <c r="RK33" s="99">
        <v>41.404009380863002</v>
      </c>
      <c r="RL33" s="99">
        <v>41.473635084427798</v>
      </c>
      <c r="RM33" s="99">
        <v>41.543260787992502</v>
      </c>
      <c r="RN33" s="99">
        <v>41.612886491557198</v>
      </c>
      <c r="RO33" s="99">
        <v>41.682512195121902</v>
      </c>
      <c r="RP33" s="99">
        <v>41.752137898686698</v>
      </c>
      <c r="RQ33" s="99">
        <v>41.821763602251401</v>
      </c>
      <c r="RR33" s="99">
        <v>41.891389305816098</v>
      </c>
      <c r="RS33" s="99">
        <v>41.961015009380901</v>
      </c>
      <c r="RT33" s="99">
        <v>42.030640712945598</v>
      </c>
      <c r="RU33" s="99">
        <v>42.100266416510301</v>
      </c>
      <c r="RV33" s="99">
        <v>42.169892120074998</v>
      </c>
      <c r="RW33" s="99">
        <v>42.239517823639801</v>
      </c>
      <c r="RX33" s="99">
        <v>42.309143527204498</v>
      </c>
      <c r="RY33" s="99">
        <v>42.378769230769201</v>
      </c>
      <c r="RZ33" s="99">
        <v>42.448394934333997</v>
      </c>
      <c r="SA33" s="99">
        <v>42.518020637898701</v>
      </c>
      <c r="SB33" s="99">
        <v>42.587646341463397</v>
      </c>
      <c r="SC33" s="99">
        <v>42.657272045028101</v>
      </c>
      <c r="SD33" s="99">
        <v>42.726897748592897</v>
      </c>
      <c r="SE33" s="99">
        <v>42.796523452157601</v>
      </c>
      <c r="SF33" s="99">
        <v>42.866149155722297</v>
      </c>
      <c r="SG33" s="99">
        <v>42.9357748592871</v>
      </c>
      <c r="SH33" s="99">
        <v>43.005400562851797</v>
      </c>
      <c r="SI33" s="99">
        <v>43.075026266416501</v>
      </c>
      <c r="SJ33" s="99">
        <v>43.144651969981197</v>
      </c>
      <c r="SK33" s="99">
        <v>43.214277673546</v>
      </c>
      <c r="SL33" s="99">
        <v>43.283903377110697</v>
      </c>
      <c r="SM33" s="99">
        <v>43.353529080675401</v>
      </c>
      <c r="SN33" s="99">
        <v>43.423154784240097</v>
      </c>
      <c r="SO33" s="99">
        <v>43.4927804878049</v>
      </c>
      <c r="SP33" s="99">
        <v>43.562406191369597</v>
      </c>
      <c r="SQ33" s="99">
        <v>43.6320318949343</v>
      </c>
      <c r="SR33" s="99">
        <v>43.701657598499096</v>
      </c>
      <c r="SS33" s="99">
        <v>43.7712833020638</v>
      </c>
      <c r="ST33" s="99">
        <v>43.840909005628497</v>
      </c>
      <c r="SU33" s="99">
        <v>43.9105347091932</v>
      </c>
      <c r="SV33" s="99">
        <v>43.980160412758003</v>
      </c>
      <c r="SW33" s="99">
        <v>44.0497861163227</v>
      </c>
      <c r="SX33" s="99">
        <v>44.119411819887397</v>
      </c>
      <c r="SY33" s="99">
        <v>44.1890375234522</v>
      </c>
      <c r="SZ33" s="99">
        <v>44.258663227016903</v>
      </c>
      <c r="TA33" s="99">
        <v>44.3282889305816</v>
      </c>
      <c r="TB33" s="99">
        <v>44.397914634146296</v>
      </c>
      <c r="TC33" s="99">
        <v>44.4675403377111</v>
      </c>
      <c r="TD33" s="99">
        <v>44.537166041275803</v>
      </c>
      <c r="TE33" s="99">
        <v>44.6067917448405</v>
      </c>
      <c r="TF33" s="99">
        <v>44.676417448405203</v>
      </c>
      <c r="TG33" s="99">
        <v>44.746043151969999</v>
      </c>
      <c r="TH33" s="99">
        <v>44.815668855534703</v>
      </c>
      <c r="TI33" s="99">
        <v>44.8852945590994</v>
      </c>
      <c r="TJ33" s="99">
        <v>44.954920262664203</v>
      </c>
      <c r="TK33" s="99">
        <v>45.024545966228899</v>
      </c>
      <c r="TL33" s="99">
        <v>45.094171669793603</v>
      </c>
      <c r="TM33" s="99">
        <v>45.1637973733583</v>
      </c>
      <c r="TN33" s="99">
        <v>45.233423076923103</v>
      </c>
      <c r="TO33" s="99">
        <v>45.303048780487799</v>
      </c>
      <c r="TP33" s="99">
        <v>45.372674484052503</v>
      </c>
      <c r="TQ33" s="99">
        <v>45.442300187617299</v>
      </c>
      <c r="TR33" s="99">
        <v>45.511925891182003</v>
      </c>
      <c r="TS33" s="99">
        <v>45.581551594746699</v>
      </c>
      <c r="TT33" s="99">
        <v>45.651177298311403</v>
      </c>
      <c r="TU33" s="99">
        <v>45.720803001876199</v>
      </c>
      <c r="TV33" s="99">
        <v>45.790428705440902</v>
      </c>
      <c r="TW33" s="99">
        <v>45.860054409005599</v>
      </c>
      <c r="TX33" s="99">
        <v>45.929680112570402</v>
      </c>
      <c r="TY33" s="99">
        <v>45.999305816135099</v>
      </c>
      <c r="TZ33" s="99">
        <v>46.068931519699802</v>
      </c>
      <c r="UA33" s="99">
        <v>46.138557223264499</v>
      </c>
      <c r="UB33" s="99">
        <v>46.208182926829302</v>
      </c>
      <c r="UC33" s="99">
        <v>46.277808630393999</v>
      </c>
      <c r="UD33" s="99">
        <v>46.347434333958702</v>
      </c>
      <c r="UE33" s="99">
        <v>46.417060037523498</v>
      </c>
      <c r="UF33" s="99">
        <v>46.486685741088202</v>
      </c>
      <c r="UG33" s="99">
        <v>46.556311444652899</v>
      </c>
      <c r="UH33" s="99">
        <v>46.625937148217602</v>
      </c>
      <c r="UI33" s="99">
        <v>46.695562851782398</v>
      </c>
      <c r="UJ33" s="99">
        <v>46.765188555347102</v>
      </c>
      <c r="UK33" s="99">
        <v>46.834814258911798</v>
      </c>
      <c r="UL33" s="99">
        <v>46.904439962476502</v>
      </c>
      <c r="UM33" s="99">
        <v>46.974065666041298</v>
      </c>
      <c r="UN33" s="99">
        <v>47.043691369606002</v>
      </c>
      <c r="UO33" s="99">
        <v>47.113317073170698</v>
      </c>
      <c r="UP33" s="99">
        <v>47.182942776735501</v>
      </c>
      <c r="UQ33" s="99">
        <v>47.252568480300198</v>
      </c>
      <c r="UR33" s="99">
        <v>47.322194183864902</v>
      </c>
      <c r="US33" s="99">
        <v>47.391819887429598</v>
      </c>
      <c r="UT33" s="99">
        <v>47.461445590994401</v>
      </c>
    </row>
    <row r="34" spans="1:566" x14ac:dyDescent="0.2">
      <c r="A34" s="89">
        <v>14</v>
      </c>
      <c r="B34" s="90">
        <v>8.1</v>
      </c>
      <c r="C34" s="90">
        <v>8.17</v>
      </c>
      <c r="D34" s="90">
        <v>8.24</v>
      </c>
      <c r="E34" s="90">
        <v>8.31</v>
      </c>
      <c r="F34" s="90">
        <v>8.3800000000000008</v>
      </c>
      <c r="G34" s="90">
        <v>8.4499999999999993</v>
      </c>
      <c r="H34" s="90">
        <v>8.52</v>
      </c>
      <c r="I34" s="90">
        <v>8.58</v>
      </c>
      <c r="J34" s="90">
        <v>8.65</v>
      </c>
      <c r="K34" s="90">
        <v>8.7200000000000006</v>
      </c>
      <c r="L34" s="90">
        <v>8.7899999999999991</v>
      </c>
      <c r="M34" s="90">
        <v>8.86</v>
      </c>
      <c r="N34" s="90">
        <v>8.93</v>
      </c>
      <c r="O34" s="90">
        <v>9</v>
      </c>
      <c r="P34" s="90">
        <v>9.07</v>
      </c>
      <c r="Q34" s="90">
        <v>9.14</v>
      </c>
      <c r="R34" s="90">
        <v>9.1999999999999993</v>
      </c>
      <c r="S34" s="90">
        <v>9.27</v>
      </c>
      <c r="T34" s="90">
        <v>9.34</v>
      </c>
      <c r="U34" s="91">
        <v>9.41</v>
      </c>
      <c r="V34" s="90">
        <v>9.48</v>
      </c>
      <c r="W34" s="90">
        <v>9.5500000000000007</v>
      </c>
      <c r="X34" s="90">
        <v>9.6199999999999992</v>
      </c>
      <c r="Y34" s="90">
        <v>9.69</v>
      </c>
      <c r="Z34" s="90">
        <v>9.76</v>
      </c>
      <c r="AA34" s="90">
        <v>9.82</v>
      </c>
      <c r="AB34" s="90">
        <v>9.89</v>
      </c>
      <c r="AC34" s="90">
        <v>9.9600000000000009</v>
      </c>
      <c r="AD34" s="90">
        <v>10.029999999999999</v>
      </c>
      <c r="AE34" s="90">
        <v>10.1</v>
      </c>
      <c r="AF34" s="90">
        <v>10.17</v>
      </c>
      <c r="AG34" s="90">
        <v>10.24</v>
      </c>
      <c r="AH34" s="90">
        <v>10.31</v>
      </c>
      <c r="AI34" s="90">
        <v>10.37</v>
      </c>
      <c r="AJ34" s="90">
        <v>10.44</v>
      </c>
      <c r="AK34" s="90">
        <v>10.51</v>
      </c>
      <c r="AL34" s="90">
        <v>10.58</v>
      </c>
      <c r="AM34" s="90">
        <v>10.65</v>
      </c>
      <c r="AN34" s="90">
        <v>10.72</v>
      </c>
      <c r="AO34" s="91">
        <v>10.79</v>
      </c>
      <c r="AP34" s="90">
        <v>10.856769230769199</v>
      </c>
      <c r="AQ34" s="90">
        <v>10.9256238273921</v>
      </c>
      <c r="AR34" s="90">
        <v>10.994478424015</v>
      </c>
      <c r="AS34" s="90">
        <v>11.0633330206379</v>
      </c>
      <c r="AT34" s="90">
        <v>11.132187617260801</v>
      </c>
      <c r="AU34" s="90">
        <v>11.201042213883699</v>
      </c>
      <c r="AV34" s="90">
        <v>11.2698968105066</v>
      </c>
      <c r="AW34" s="90">
        <v>11.3387514071295</v>
      </c>
      <c r="AX34" s="90">
        <v>11.407606003752299</v>
      </c>
      <c r="AY34" s="90">
        <v>11.4764606003752</v>
      </c>
      <c r="AZ34" s="90">
        <v>11.5453151969981</v>
      </c>
      <c r="BA34" s="90">
        <v>11.614169793621</v>
      </c>
      <c r="BB34" s="90">
        <v>11.683024390243901</v>
      </c>
      <c r="BC34" s="90">
        <v>11.751878986866799</v>
      </c>
      <c r="BD34" s="90">
        <v>11.8207335834897</v>
      </c>
      <c r="BE34" s="90">
        <v>11.8895881801126</v>
      </c>
      <c r="BF34" s="90">
        <v>11.958442776735501</v>
      </c>
      <c r="BG34" s="90">
        <v>12.0272973733583</v>
      </c>
      <c r="BH34" s="90">
        <v>12.0961519699812</v>
      </c>
      <c r="BI34" s="91">
        <v>12.165006566604101</v>
      </c>
      <c r="BJ34" s="90">
        <v>12.233861163226999</v>
      </c>
      <c r="BK34" s="99">
        <v>12.3027157598499</v>
      </c>
      <c r="BL34" s="99">
        <v>12.3715703564728</v>
      </c>
      <c r="BM34" s="99">
        <v>12.4404249530957</v>
      </c>
      <c r="BN34" s="99">
        <v>12.509279549718601</v>
      </c>
      <c r="BO34" s="99">
        <v>12.578134146341499</v>
      </c>
      <c r="BP34" s="99">
        <v>12.6469887429643</v>
      </c>
      <c r="BQ34" s="99">
        <v>12.715843339587201</v>
      </c>
      <c r="BR34" s="99">
        <v>12.784697936210099</v>
      </c>
      <c r="BS34" s="99">
        <v>12.853552532833</v>
      </c>
      <c r="BT34" s="99">
        <v>12.9224071294559</v>
      </c>
      <c r="BU34" s="99">
        <v>12.9912617260788</v>
      </c>
      <c r="BV34" s="99">
        <v>13.060116322701701</v>
      </c>
      <c r="BW34" s="99">
        <v>13.128970919324599</v>
      </c>
      <c r="BX34" s="99">
        <v>13.1978255159475</v>
      </c>
      <c r="BY34" s="99">
        <v>13.2666801125704</v>
      </c>
      <c r="BZ34" s="99">
        <v>13.335534709193301</v>
      </c>
      <c r="CA34" s="99">
        <v>13.4043893058161</v>
      </c>
      <c r="CB34" s="99">
        <v>13.473243902439</v>
      </c>
      <c r="CC34" s="99">
        <v>13.5420984990619</v>
      </c>
      <c r="CD34" s="99">
        <v>13.610953095684801</v>
      </c>
      <c r="CE34" s="99">
        <v>13.679807692307699</v>
      </c>
      <c r="CF34" s="99">
        <v>13.7486622889306</v>
      </c>
      <c r="CG34" s="99">
        <v>13.8175168855535</v>
      </c>
      <c r="CH34" s="99">
        <v>13.886371482176401</v>
      </c>
      <c r="CI34" s="99">
        <v>13.9552260787992</v>
      </c>
      <c r="CJ34" s="99">
        <v>14.0240806754221</v>
      </c>
      <c r="CK34" s="99">
        <v>14.092935272045001</v>
      </c>
      <c r="CL34" s="99">
        <v>14.161789868667899</v>
      </c>
      <c r="CM34" s="99">
        <v>14.2306444652908</v>
      </c>
      <c r="CN34" s="99">
        <v>14.2994990619137</v>
      </c>
      <c r="CO34" s="99">
        <v>14.3683536585366</v>
      </c>
      <c r="CP34" s="99">
        <v>14.437208255159501</v>
      </c>
      <c r="CQ34" s="99">
        <v>14.506062851782399</v>
      </c>
      <c r="CR34" s="99">
        <v>14.5749174484052</v>
      </c>
      <c r="CS34" s="99">
        <v>14.643772045028101</v>
      </c>
      <c r="CT34" s="99">
        <v>14.712626641650999</v>
      </c>
      <c r="CU34" s="99">
        <v>14.7814812382739</v>
      </c>
      <c r="CV34" s="99">
        <v>14.8503358348968</v>
      </c>
      <c r="CW34" s="99">
        <v>14.9191904315197</v>
      </c>
      <c r="CX34" s="99">
        <v>14.988045028142601</v>
      </c>
      <c r="CY34" s="99">
        <v>15.056899624765499</v>
      </c>
      <c r="CZ34" s="99">
        <v>15.1257542213884</v>
      </c>
      <c r="DA34" s="99">
        <v>15.1946088180113</v>
      </c>
      <c r="DB34" s="99">
        <v>15.263463414634099</v>
      </c>
      <c r="DC34" s="99">
        <v>15.332318011257</v>
      </c>
      <c r="DD34" s="99">
        <v>15.4011726078799</v>
      </c>
      <c r="DE34" s="99">
        <v>15.4700272045028</v>
      </c>
      <c r="DF34" s="99">
        <v>15.538881801125701</v>
      </c>
      <c r="DG34" s="99">
        <v>15.607736397748599</v>
      </c>
      <c r="DH34" s="99">
        <v>15.6765909943715</v>
      </c>
      <c r="DI34" s="99">
        <v>15.7454455909944</v>
      </c>
      <c r="DJ34" s="99">
        <v>15.814300187617301</v>
      </c>
      <c r="DK34" s="99">
        <v>15.8831547842401</v>
      </c>
      <c r="DL34" s="99">
        <v>15.952009380863</v>
      </c>
      <c r="DM34" s="99">
        <v>16.020863977485899</v>
      </c>
      <c r="DN34" s="99">
        <v>16.089718574108801</v>
      </c>
      <c r="DO34" s="99">
        <v>16.1585731707317</v>
      </c>
      <c r="DP34" s="99">
        <v>16.227427767354602</v>
      </c>
      <c r="DQ34" s="99">
        <v>16.2962823639775</v>
      </c>
      <c r="DR34" s="99">
        <v>16.365136960600399</v>
      </c>
      <c r="DS34" s="99">
        <v>16.433991557223301</v>
      </c>
      <c r="DT34" s="99">
        <v>16.5028461538461</v>
      </c>
      <c r="DU34" s="99">
        <v>16.571700750468999</v>
      </c>
      <c r="DV34" s="99">
        <v>16.640555347091901</v>
      </c>
      <c r="DW34" s="99">
        <v>16.7094099437148</v>
      </c>
      <c r="DX34" s="99">
        <v>16.778264540337702</v>
      </c>
      <c r="DY34" s="99">
        <v>16.8471191369606</v>
      </c>
      <c r="DZ34" s="99">
        <v>16.915973733583499</v>
      </c>
      <c r="EA34" s="99">
        <v>16.984828330206401</v>
      </c>
      <c r="EB34" s="99">
        <v>17.0536829268293</v>
      </c>
      <c r="EC34" s="99">
        <v>17.122537523452198</v>
      </c>
      <c r="ED34" s="99">
        <v>17.191392120075101</v>
      </c>
      <c r="EE34" s="99">
        <v>17.2602467166979</v>
      </c>
      <c r="EF34" s="99">
        <v>17.329101313320798</v>
      </c>
      <c r="EG34" s="99">
        <v>17.3979559099437</v>
      </c>
      <c r="EH34" s="99">
        <v>17.466810506566599</v>
      </c>
      <c r="EI34" s="99">
        <v>17.535665103189501</v>
      </c>
      <c r="EJ34" s="99">
        <v>17.6045196998124</v>
      </c>
      <c r="EK34" s="99">
        <v>17.673374296435298</v>
      </c>
      <c r="EL34" s="99">
        <v>17.742228893058201</v>
      </c>
      <c r="EM34" s="99">
        <v>17.811083489681</v>
      </c>
      <c r="EN34" s="99">
        <v>17.879938086303898</v>
      </c>
      <c r="EO34" s="99">
        <v>17.948792682926801</v>
      </c>
      <c r="EP34" s="99">
        <v>18.017647279549699</v>
      </c>
      <c r="EQ34" s="99">
        <v>18.086501876172601</v>
      </c>
      <c r="ER34" s="99">
        <v>18.1553564727955</v>
      </c>
      <c r="ES34" s="99">
        <v>18.224211069418399</v>
      </c>
      <c r="ET34" s="99">
        <v>18.293065666041301</v>
      </c>
      <c r="EU34" s="99">
        <v>18.361920262664199</v>
      </c>
      <c r="EV34" s="99">
        <v>18.430774859287101</v>
      </c>
      <c r="EW34" s="99">
        <v>18.49962945591</v>
      </c>
      <c r="EX34" s="99">
        <v>18.568484052532899</v>
      </c>
      <c r="EY34" s="99">
        <v>18.637338649155801</v>
      </c>
      <c r="EZ34" s="99">
        <v>18.706193245778699</v>
      </c>
      <c r="FA34" s="99">
        <v>18.775047842401499</v>
      </c>
      <c r="FB34" s="99">
        <v>18.843902439024401</v>
      </c>
      <c r="FC34" s="99">
        <v>18.912757035647299</v>
      </c>
      <c r="FD34" s="99">
        <v>18.981611632270202</v>
      </c>
      <c r="FE34" s="99">
        <v>19.0504662288931</v>
      </c>
      <c r="FF34" s="99">
        <v>19.119320825515999</v>
      </c>
      <c r="FG34" s="99">
        <v>19.188175422138901</v>
      </c>
      <c r="FH34" s="99">
        <v>19.2570300187618</v>
      </c>
      <c r="FI34" s="99">
        <v>19.325884615384702</v>
      </c>
      <c r="FJ34" s="99">
        <v>19.394739212007501</v>
      </c>
      <c r="FK34" s="99">
        <v>19.463593808630399</v>
      </c>
      <c r="FL34" s="99">
        <v>19.532448405253302</v>
      </c>
      <c r="FM34" s="99">
        <v>19.6013030018762</v>
      </c>
      <c r="FN34" s="99">
        <v>19.670157598499099</v>
      </c>
      <c r="FO34" s="99">
        <v>19.739012195122001</v>
      </c>
      <c r="FP34" s="99">
        <v>19.8078667917449</v>
      </c>
      <c r="FQ34" s="99">
        <v>19.876721388367798</v>
      </c>
      <c r="FR34" s="99">
        <v>19.9455759849907</v>
      </c>
      <c r="FS34" s="99">
        <v>20.0144305816135</v>
      </c>
      <c r="FT34" s="99">
        <v>20.083285178236402</v>
      </c>
      <c r="FU34" s="99">
        <v>20.1521397748593</v>
      </c>
      <c r="FV34" s="99">
        <v>20.220994371482199</v>
      </c>
      <c r="FW34" s="99">
        <v>20.289848968105101</v>
      </c>
      <c r="FX34" s="99">
        <v>20.358703564728</v>
      </c>
      <c r="FY34" s="99">
        <v>20.427558161350898</v>
      </c>
      <c r="FZ34" s="99">
        <v>20.4964127579738</v>
      </c>
      <c r="GA34" s="99">
        <v>20.565267354596699</v>
      </c>
      <c r="GB34" s="99">
        <v>20.634121951219502</v>
      </c>
      <c r="GC34" s="99">
        <v>20.7029765478424</v>
      </c>
      <c r="GD34" s="99">
        <v>20.771831144465299</v>
      </c>
      <c r="GE34" s="99">
        <v>20.840685741088201</v>
      </c>
      <c r="GF34" s="99">
        <v>20.9095403377111</v>
      </c>
      <c r="GG34" s="99">
        <v>20.978394934333998</v>
      </c>
      <c r="GH34" s="99">
        <v>21.047249530956901</v>
      </c>
      <c r="GI34" s="99">
        <v>21.116104127579799</v>
      </c>
      <c r="GJ34" s="99">
        <v>21.184958724202701</v>
      </c>
      <c r="GK34" s="99">
        <v>21.2538133208256</v>
      </c>
      <c r="GL34" s="99">
        <v>21.322667917448399</v>
      </c>
      <c r="GM34" s="99">
        <v>21.391522514071301</v>
      </c>
      <c r="GN34" s="99">
        <v>21.4603771106942</v>
      </c>
      <c r="GO34" s="99">
        <v>21.529231707317098</v>
      </c>
      <c r="GP34" s="99">
        <v>21.598086303940001</v>
      </c>
      <c r="GQ34" s="99">
        <v>21.666940900562899</v>
      </c>
      <c r="GR34" s="99">
        <v>21.735795497185801</v>
      </c>
      <c r="GS34" s="99">
        <v>21.8046500938087</v>
      </c>
      <c r="GT34" s="99">
        <v>21.873504690431599</v>
      </c>
      <c r="GU34" s="99">
        <v>21.942359287054401</v>
      </c>
      <c r="GV34" s="99">
        <v>22.0112138836773</v>
      </c>
      <c r="GW34" s="99">
        <v>22.080068480300199</v>
      </c>
      <c r="GX34" s="99">
        <v>22.148923076923101</v>
      </c>
      <c r="GY34" s="99">
        <v>22.217777673545999</v>
      </c>
      <c r="GZ34" s="99">
        <v>22.286632270168901</v>
      </c>
      <c r="HA34" s="99">
        <v>22.3554868667918</v>
      </c>
      <c r="HB34" s="99">
        <v>22.424341463414699</v>
      </c>
      <c r="HC34" s="99">
        <v>22.493196060037601</v>
      </c>
      <c r="HD34" s="99">
        <v>22.562050656660499</v>
      </c>
      <c r="HE34" s="99">
        <v>22.630905253283299</v>
      </c>
      <c r="HF34" s="99">
        <v>22.699759849906201</v>
      </c>
      <c r="HG34" s="99">
        <v>22.768614446529099</v>
      </c>
      <c r="HH34" s="99">
        <v>22.837469043152002</v>
      </c>
      <c r="HI34" s="99">
        <v>22.9063236397749</v>
      </c>
      <c r="HJ34" s="99">
        <v>22.975178236397799</v>
      </c>
      <c r="HK34" s="99">
        <v>23.044032833020701</v>
      </c>
      <c r="HL34" s="99">
        <v>23.1128874296436</v>
      </c>
      <c r="HM34" s="99">
        <v>23.181742026266502</v>
      </c>
      <c r="HN34" s="99">
        <v>23.250596622889301</v>
      </c>
      <c r="HO34" s="99">
        <v>23.319451219512199</v>
      </c>
      <c r="HP34" s="99">
        <v>23.388305816135102</v>
      </c>
      <c r="HQ34" s="99">
        <v>23.457160412758</v>
      </c>
      <c r="HR34" s="99">
        <v>23.526015009380899</v>
      </c>
      <c r="HS34" s="99">
        <v>23.594869606003801</v>
      </c>
      <c r="HT34" s="99">
        <v>23.6637242026267</v>
      </c>
      <c r="HU34" s="99">
        <v>23.732578799249598</v>
      </c>
      <c r="HV34" s="99">
        <v>23.8014333958725</v>
      </c>
      <c r="HW34" s="99">
        <v>23.8702879924953</v>
      </c>
      <c r="HX34" s="99">
        <v>23.939142589118202</v>
      </c>
      <c r="HY34" s="99">
        <v>24.0079971857411</v>
      </c>
      <c r="HZ34" s="99">
        <v>24.076851782363999</v>
      </c>
      <c r="IA34" s="99">
        <v>24.145706378986901</v>
      </c>
      <c r="IB34" s="99">
        <v>24.2145609756098</v>
      </c>
      <c r="IC34" s="99">
        <v>24.283415572232698</v>
      </c>
      <c r="ID34" s="99">
        <v>24.3522701688556</v>
      </c>
      <c r="IE34" s="99">
        <v>24.421124765478499</v>
      </c>
      <c r="IF34" s="99">
        <v>24.489979362101302</v>
      </c>
      <c r="IG34" s="99">
        <v>24.5588339587242</v>
      </c>
      <c r="IH34" s="99">
        <v>24.627688555347099</v>
      </c>
      <c r="II34" s="99">
        <v>24.696543151970001</v>
      </c>
      <c r="IJ34" s="99">
        <v>24.7653977485929</v>
      </c>
      <c r="IK34" s="99">
        <v>24.834252345215798</v>
      </c>
      <c r="IL34" s="99">
        <v>24.903106941838701</v>
      </c>
      <c r="IM34" s="99">
        <v>24.971961538461599</v>
      </c>
      <c r="IN34" s="99">
        <v>25.040816135084501</v>
      </c>
      <c r="IO34" s="99">
        <v>25.1096707317074</v>
      </c>
      <c r="IP34" s="99">
        <v>25.178525328330199</v>
      </c>
      <c r="IQ34" s="99">
        <v>25.247379924953101</v>
      </c>
      <c r="IR34" s="99">
        <v>25.316234521576</v>
      </c>
      <c r="IS34" s="99">
        <v>25.385089118198898</v>
      </c>
      <c r="IT34" s="99">
        <v>25.453943714821801</v>
      </c>
      <c r="IU34" s="99">
        <v>25.522798311444699</v>
      </c>
      <c r="IV34" s="99">
        <v>25.591652908067601</v>
      </c>
      <c r="IW34" s="99">
        <v>25.6605075046905</v>
      </c>
      <c r="IX34" s="99">
        <v>25.729362101313399</v>
      </c>
      <c r="IY34" s="99">
        <v>25.798216697936201</v>
      </c>
      <c r="IZ34" s="99">
        <v>25.8670712945591</v>
      </c>
      <c r="JA34" s="99">
        <v>25.935925891181999</v>
      </c>
      <c r="JB34" s="99">
        <v>26.004780487804901</v>
      </c>
      <c r="JC34" s="99">
        <v>26.073635084427799</v>
      </c>
      <c r="JD34" s="99">
        <v>26.142489681050701</v>
      </c>
      <c r="JE34" s="99">
        <v>26.2113442776736</v>
      </c>
      <c r="JF34" s="99">
        <v>26.280198874296499</v>
      </c>
      <c r="JG34" s="99">
        <v>26.349053470919401</v>
      </c>
      <c r="JH34" s="99">
        <v>26.417908067542299</v>
      </c>
      <c r="JI34" s="99">
        <v>26.486762664165099</v>
      </c>
      <c r="JJ34" s="99">
        <v>26.555617260788001</v>
      </c>
      <c r="JK34" s="99">
        <v>26.624471857410899</v>
      </c>
      <c r="JL34" s="99">
        <v>26.693326454033802</v>
      </c>
      <c r="JM34" s="99">
        <v>26.7621810506567</v>
      </c>
      <c r="JN34" s="99">
        <v>26.831035647279599</v>
      </c>
      <c r="JO34" s="99">
        <v>26.899890243902501</v>
      </c>
      <c r="JP34" s="99">
        <v>26.9687448405254</v>
      </c>
      <c r="JQ34" s="99">
        <v>27.037599437148302</v>
      </c>
      <c r="JR34" s="99">
        <v>27.106454033771101</v>
      </c>
      <c r="JS34" s="99">
        <v>27.175308630393999</v>
      </c>
      <c r="JT34" s="99">
        <v>27.244163227016902</v>
      </c>
      <c r="JU34" s="99">
        <v>27.3130178236398</v>
      </c>
      <c r="JV34" s="99">
        <v>27.381872420262699</v>
      </c>
      <c r="JW34" s="99">
        <v>27.450727016885601</v>
      </c>
      <c r="JX34" s="99">
        <v>27.5195816135085</v>
      </c>
      <c r="JY34" s="99">
        <v>27.588436210131398</v>
      </c>
      <c r="JZ34" s="99">
        <v>27.6572908067543</v>
      </c>
      <c r="KA34" s="99">
        <v>27.7261454033771</v>
      </c>
      <c r="KB34" s="99">
        <v>27.795000000000002</v>
      </c>
      <c r="KC34" s="99">
        <v>27.8638545966229</v>
      </c>
      <c r="KD34" s="99">
        <v>27.932709193245799</v>
      </c>
      <c r="KE34" s="99">
        <v>28.001563789868701</v>
      </c>
      <c r="KF34" s="99">
        <v>28.0704183864916</v>
      </c>
      <c r="KG34" s="99">
        <v>28.139272983114498</v>
      </c>
      <c r="KH34" s="99">
        <v>28.2081275797374</v>
      </c>
      <c r="KI34" s="99">
        <v>28.276982176360299</v>
      </c>
      <c r="KJ34" s="99">
        <v>28.345836772983098</v>
      </c>
      <c r="KK34" s="99">
        <v>28.414691369606</v>
      </c>
      <c r="KL34" s="99">
        <v>28.483545966228899</v>
      </c>
      <c r="KM34" s="99">
        <v>28.552400562851801</v>
      </c>
      <c r="KN34" s="99">
        <v>28.6212551594747</v>
      </c>
      <c r="KO34" s="99">
        <v>28.690109756097598</v>
      </c>
      <c r="KP34" s="99">
        <v>28.758964352720501</v>
      </c>
      <c r="KQ34" s="99">
        <v>28.827818949343399</v>
      </c>
      <c r="KR34" s="99">
        <v>28.896673545966301</v>
      </c>
      <c r="KS34" s="99">
        <v>28.9655281425892</v>
      </c>
      <c r="KT34" s="99">
        <v>29.034382739211999</v>
      </c>
      <c r="KU34" s="99">
        <v>29.103237335834901</v>
      </c>
      <c r="KV34" s="99">
        <v>29.1720919324578</v>
      </c>
      <c r="KW34" s="99">
        <v>29.240946529080698</v>
      </c>
      <c r="KX34" s="99">
        <v>29.309801125703601</v>
      </c>
      <c r="KY34" s="99">
        <v>29.378655722326499</v>
      </c>
      <c r="KZ34" s="99">
        <v>29.447510318949401</v>
      </c>
      <c r="LA34" s="99">
        <v>29.5163649155723</v>
      </c>
      <c r="LB34" s="99">
        <v>29.585219512195199</v>
      </c>
      <c r="LC34" s="99">
        <v>29.654074108818001</v>
      </c>
      <c r="LD34" s="99">
        <v>29.7229287054409</v>
      </c>
      <c r="LE34" s="99">
        <v>29.791783302063799</v>
      </c>
      <c r="LF34" s="99">
        <v>29.860637898686701</v>
      </c>
      <c r="LG34" s="99">
        <v>29.929492495309599</v>
      </c>
      <c r="LH34" s="99">
        <v>29.998347091932501</v>
      </c>
      <c r="LI34" s="99">
        <v>30.0672016885554</v>
      </c>
      <c r="LJ34" s="99">
        <v>30.136056285178299</v>
      </c>
      <c r="LK34" s="99">
        <v>30.204910881801201</v>
      </c>
      <c r="LL34" s="99">
        <v>30.273765478424099</v>
      </c>
      <c r="LM34" s="99">
        <v>30.342620075046899</v>
      </c>
      <c r="LN34" s="99">
        <v>30.411474671669801</v>
      </c>
      <c r="LO34" s="99">
        <v>30.480329268292699</v>
      </c>
      <c r="LP34" s="99">
        <v>30.549183864915602</v>
      </c>
      <c r="LQ34" s="99">
        <v>30.6180384615385</v>
      </c>
      <c r="LR34" s="99">
        <v>30.686893058161399</v>
      </c>
      <c r="LS34" s="99">
        <v>30.755747654784301</v>
      </c>
      <c r="LT34" s="99">
        <v>30.8246022514072</v>
      </c>
      <c r="LU34" s="99">
        <v>30.893456848030102</v>
      </c>
      <c r="LV34" s="99">
        <v>30.962311444652901</v>
      </c>
      <c r="LW34" s="99">
        <v>31.031166041275799</v>
      </c>
      <c r="LX34" s="99">
        <v>31.100020637898702</v>
      </c>
      <c r="LY34" s="99">
        <v>31.1688752345216</v>
      </c>
      <c r="LZ34" s="99">
        <v>31.237729831144499</v>
      </c>
      <c r="MA34" s="99">
        <v>31.306584427767401</v>
      </c>
      <c r="MB34" s="99">
        <v>31.3754390243903</v>
      </c>
      <c r="MC34" s="99">
        <v>31.444293621013198</v>
      </c>
      <c r="MD34" s="99">
        <v>31.5131482176361</v>
      </c>
      <c r="ME34" s="99">
        <v>31.5820028142589</v>
      </c>
      <c r="MF34" s="99">
        <v>31.650857410881802</v>
      </c>
      <c r="MG34" s="99">
        <v>31.7197120075047</v>
      </c>
      <c r="MH34" s="99">
        <v>31.788566604127599</v>
      </c>
      <c r="MI34" s="99">
        <v>31.857421200750501</v>
      </c>
      <c r="MJ34" s="99">
        <v>31.9262757973734</v>
      </c>
      <c r="MK34" s="99">
        <v>31.995130393996298</v>
      </c>
      <c r="ML34" s="99">
        <v>32.063984990619197</v>
      </c>
      <c r="MM34" s="99">
        <v>32.132839587242103</v>
      </c>
      <c r="MN34" s="99">
        <v>32.201694183864902</v>
      </c>
      <c r="MO34" s="99">
        <v>32.2705487804878</v>
      </c>
      <c r="MP34" s="99">
        <v>32.339403377110699</v>
      </c>
      <c r="MQ34" s="99">
        <v>32.408257973733598</v>
      </c>
      <c r="MR34" s="99">
        <v>32.477112570356503</v>
      </c>
      <c r="MS34" s="99">
        <v>32.545967166979402</v>
      </c>
      <c r="MT34" s="99">
        <v>32.614821763602301</v>
      </c>
      <c r="MU34" s="99">
        <v>32.683676360225199</v>
      </c>
      <c r="MV34" s="99">
        <v>32.752530956848098</v>
      </c>
      <c r="MW34" s="99">
        <v>32.821385553471004</v>
      </c>
      <c r="MX34" s="99">
        <v>32.890240150093803</v>
      </c>
      <c r="MY34" s="99">
        <v>32.959094746716701</v>
      </c>
      <c r="MZ34" s="99">
        <v>33.0279493433396</v>
      </c>
      <c r="NA34" s="99">
        <v>33.096803939962498</v>
      </c>
      <c r="NB34" s="99">
        <v>33.165658536585397</v>
      </c>
      <c r="NC34" s="99">
        <v>33.234513133208303</v>
      </c>
      <c r="ND34" s="99">
        <v>33.303367729831201</v>
      </c>
      <c r="NE34" s="99">
        <v>33.3722223264541</v>
      </c>
      <c r="NF34" s="99">
        <v>33.441076923076999</v>
      </c>
      <c r="NG34" s="99">
        <v>33.509931519699798</v>
      </c>
      <c r="NH34" s="99">
        <v>33.578786116322703</v>
      </c>
      <c r="NI34" s="99">
        <v>33.647640712945602</v>
      </c>
      <c r="NJ34" s="99">
        <v>33.716495309568501</v>
      </c>
      <c r="NK34" s="99">
        <v>33.785349906191399</v>
      </c>
      <c r="NL34" s="99">
        <v>33.854204502814298</v>
      </c>
      <c r="NM34" s="99">
        <v>33.923059099437197</v>
      </c>
      <c r="NN34" s="99">
        <v>33.991913696060102</v>
      </c>
      <c r="NO34" s="99">
        <v>34.060768292683001</v>
      </c>
      <c r="NP34" s="99">
        <v>34.129622889305899</v>
      </c>
      <c r="NQ34" s="99">
        <v>34.198477485928699</v>
      </c>
      <c r="NR34" s="99">
        <v>34.267332082551597</v>
      </c>
      <c r="NS34" s="99">
        <v>34.336186679174503</v>
      </c>
      <c r="NT34" s="99">
        <v>34.405041275797402</v>
      </c>
      <c r="NU34" s="99">
        <v>34.4738958724203</v>
      </c>
      <c r="NV34" s="99">
        <v>34.542750469043199</v>
      </c>
      <c r="NW34" s="99">
        <v>34.611605065666097</v>
      </c>
      <c r="NX34" s="99">
        <v>34.680459662289003</v>
      </c>
      <c r="NY34" s="99">
        <v>34.749314258911902</v>
      </c>
      <c r="NZ34" s="99">
        <v>34.818168855534701</v>
      </c>
      <c r="OA34" s="99">
        <v>34.887023452157599</v>
      </c>
      <c r="OB34" s="99">
        <v>34.955878048780498</v>
      </c>
      <c r="OC34" s="99">
        <v>35.024732645403397</v>
      </c>
      <c r="OD34" s="99">
        <v>35.093587242026302</v>
      </c>
      <c r="OE34" s="99">
        <v>35.162441838649201</v>
      </c>
      <c r="OF34" s="99">
        <v>35.2312964352721</v>
      </c>
      <c r="OG34" s="99">
        <v>35.300151031894998</v>
      </c>
      <c r="OH34" s="99">
        <v>35.369005628517897</v>
      </c>
      <c r="OI34" s="99">
        <v>35.437860225140703</v>
      </c>
      <c r="OJ34" s="99">
        <v>35.506714821763602</v>
      </c>
      <c r="OK34" s="99">
        <v>35.5755694183865</v>
      </c>
      <c r="OL34" s="99">
        <v>35.644424015009399</v>
      </c>
      <c r="OM34" s="99">
        <v>35.713278611632298</v>
      </c>
      <c r="ON34" s="99">
        <v>35.782133208255203</v>
      </c>
      <c r="OO34" s="99">
        <v>35.850987804878102</v>
      </c>
      <c r="OP34" s="99">
        <v>35.919842401501</v>
      </c>
      <c r="OQ34" s="99">
        <v>35.988696998123899</v>
      </c>
      <c r="OR34" s="99">
        <v>36.057551594746698</v>
      </c>
      <c r="OS34" s="99">
        <v>36.126406191369597</v>
      </c>
      <c r="OT34" s="99">
        <v>36.195260787992503</v>
      </c>
      <c r="OU34" s="99">
        <v>36.264115384615401</v>
      </c>
      <c r="OV34" s="99">
        <v>36.3329699812383</v>
      </c>
      <c r="OW34" s="99">
        <v>36.401824577861198</v>
      </c>
      <c r="OX34" s="99">
        <v>36.470679174484097</v>
      </c>
      <c r="OY34" s="99">
        <v>36.539533771107003</v>
      </c>
      <c r="OZ34" s="99">
        <v>36.608388367729901</v>
      </c>
      <c r="PA34" s="99">
        <v>36.6772429643528</v>
      </c>
      <c r="PB34" s="99">
        <v>36.746097560975599</v>
      </c>
      <c r="PC34" s="99">
        <v>36.814952157598498</v>
      </c>
      <c r="PD34" s="99">
        <v>36.883806754221403</v>
      </c>
      <c r="PE34" s="99">
        <v>36.952661350844302</v>
      </c>
      <c r="PF34" s="99">
        <v>37.021515947467201</v>
      </c>
      <c r="PG34" s="99">
        <v>37.090370544090099</v>
      </c>
      <c r="PH34" s="99">
        <v>37.159225140712998</v>
      </c>
      <c r="PI34" s="99">
        <v>37.228079737335896</v>
      </c>
      <c r="PJ34" s="99">
        <v>37.296934333958802</v>
      </c>
      <c r="PK34" s="99">
        <v>37.365788930581601</v>
      </c>
      <c r="PL34" s="99">
        <v>37.4346435272045</v>
      </c>
      <c r="PM34" s="99">
        <v>37.503498123827399</v>
      </c>
      <c r="PN34" s="99">
        <v>37.572352720450297</v>
      </c>
      <c r="PO34" s="99">
        <v>37.641207317073203</v>
      </c>
      <c r="PP34" s="99">
        <v>37.710061913696101</v>
      </c>
      <c r="PQ34" s="99">
        <v>37.778916510319</v>
      </c>
      <c r="PR34" s="99">
        <v>37.847771106941899</v>
      </c>
      <c r="PS34" s="99">
        <v>37.916625703564797</v>
      </c>
      <c r="PT34" s="99">
        <v>37.985480300187703</v>
      </c>
      <c r="PU34" s="99">
        <v>38.054334896810502</v>
      </c>
      <c r="PV34" s="99">
        <v>38.123189493433401</v>
      </c>
      <c r="PW34" s="99">
        <v>38.192044090056299</v>
      </c>
      <c r="PX34" s="99">
        <v>38.260898686679198</v>
      </c>
      <c r="PY34" s="99">
        <v>38.329753283302097</v>
      </c>
      <c r="PZ34" s="99">
        <v>38.398607879925002</v>
      </c>
      <c r="QA34" s="99">
        <v>38.467462476547901</v>
      </c>
      <c r="QB34" s="99">
        <v>38.5363170731708</v>
      </c>
      <c r="QC34" s="99">
        <v>38.605171669793698</v>
      </c>
      <c r="QD34" s="99">
        <v>38.674026266416497</v>
      </c>
      <c r="QE34" s="99">
        <v>38.742880863039403</v>
      </c>
      <c r="QF34" s="99">
        <v>38.811735459662302</v>
      </c>
      <c r="QG34" s="99">
        <v>38.8805900562852</v>
      </c>
      <c r="QH34" s="99">
        <v>38.949444652908099</v>
      </c>
      <c r="QI34" s="99">
        <v>39.018299249530997</v>
      </c>
      <c r="QJ34" s="99">
        <v>39.087153846153903</v>
      </c>
      <c r="QK34" s="99">
        <v>39.156008442776802</v>
      </c>
      <c r="QL34" s="99">
        <v>39.2248630393997</v>
      </c>
      <c r="QM34" s="99">
        <v>39.2937176360225</v>
      </c>
      <c r="QN34" s="99">
        <v>39.362572232645398</v>
      </c>
      <c r="QO34" s="99">
        <v>39.431426829268297</v>
      </c>
      <c r="QP34" s="99">
        <v>39.500281425891203</v>
      </c>
      <c r="QQ34" s="99">
        <v>39.569136022514101</v>
      </c>
      <c r="QR34" s="99">
        <v>39.637990619137</v>
      </c>
      <c r="QS34" s="99">
        <v>39.706845215759898</v>
      </c>
      <c r="QT34" s="99">
        <v>39.775699812382797</v>
      </c>
      <c r="QU34" s="99">
        <v>39.844554409005703</v>
      </c>
      <c r="QV34" s="99">
        <v>39.913409005628502</v>
      </c>
      <c r="QW34" s="99">
        <v>39.9822636022514</v>
      </c>
      <c r="QX34" s="99">
        <v>40.051118198874299</v>
      </c>
      <c r="QY34" s="99">
        <v>40.119972795497198</v>
      </c>
      <c r="QZ34" s="99">
        <v>40.188827392120103</v>
      </c>
      <c r="RA34" s="99">
        <v>40.257681988743002</v>
      </c>
      <c r="RB34" s="99">
        <v>40.326536585365901</v>
      </c>
      <c r="RC34" s="99">
        <v>40.395391181988799</v>
      </c>
      <c r="RD34" s="99">
        <v>40.464245778611698</v>
      </c>
      <c r="RE34" s="99">
        <v>40.533100375234604</v>
      </c>
      <c r="RF34" s="99">
        <v>40.601954971857403</v>
      </c>
      <c r="RG34" s="99">
        <v>40.670809568480301</v>
      </c>
      <c r="RH34" s="99">
        <v>40.7396641651032</v>
      </c>
      <c r="RI34" s="99">
        <v>40.808518761726098</v>
      </c>
      <c r="RJ34" s="99">
        <v>40.877373358348997</v>
      </c>
      <c r="RK34" s="99">
        <v>40.946227954971903</v>
      </c>
      <c r="RL34" s="99">
        <v>41.015082551594801</v>
      </c>
      <c r="RM34" s="99">
        <v>41.0839371482177</v>
      </c>
      <c r="RN34" s="99">
        <v>41.152791744840599</v>
      </c>
      <c r="RO34" s="99">
        <v>41.221646341463398</v>
      </c>
      <c r="RP34" s="99">
        <v>41.290500938086304</v>
      </c>
      <c r="RQ34" s="99">
        <v>41.359355534709202</v>
      </c>
      <c r="RR34" s="99">
        <v>41.428210131332101</v>
      </c>
      <c r="RS34" s="99">
        <v>41.497064727954999</v>
      </c>
      <c r="RT34" s="99">
        <v>41.565919324577898</v>
      </c>
      <c r="RU34" s="99">
        <v>41.634773921200797</v>
      </c>
      <c r="RV34" s="99">
        <v>41.703628517823702</v>
      </c>
      <c r="RW34" s="99">
        <v>41.772483114446601</v>
      </c>
      <c r="RX34" s="99">
        <v>41.8413377110695</v>
      </c>
      <c r="RY34" s="99">
        <v>41.910192307692299</v>
      </c>
      <c r="RZ34" s="99">
        <v>41.979046904315197</v>
      </c>
      <c r="SA34" s="99">
        <v>42.047901500938103</v>
      </c>
      <c r="SB34" s="99">
        <v>42.116756097561002</v>
      </c>
      <c r="SC34" s="99">
        <v>42.1856106941839</v>
      </c>
      <c r="SD34" s="99">
        <v>42.254465290806799</v>
      </c>
      <c r="SE34" s="99">
        <v>42.323319887429697</v>
      </c>
      <c r="SF34" s="99">
        <v>42.392174484052603</v>
      </c>
      <c r="SG34" s="99">
        <v>42.461029080675502</v>
      </c>
      <c r="SH34" s="99">
        <v>42.529883677298301</v>
      </c>
      <c r="SI34" s="99">
        <v>42.598738273921199</v>
      </c>
      <c r="SJ34" s="99">
        <v>42.667592870544098</v>
      </c>
      <c r="SK34" s="99">
        <v>42.736447467166997</v>
      </c>
      <c r="SL34" s="99">
        <v>42.805302063789902</v>
      </c>
      <c r="SM34" s="99">
        <v>42.874156660412801</v>
      </c>
      <c r="SN34" s="99">
        <v>42.9430112570357</v>
      </c>
      <c r="SO34" s="99">
        <v>43.011865853658598</v>
      </c>
      <c r="SP34" s="99">
        <v>43.080720450281497</v>
      </c>
      <c r="SQ34" s="99">
        <v>43.149575046904303</v>
      </c>
      <c r="SR34" s="99">
        <v>43.218429643527202</v>
      </c>
      <c r="SS34" s="99">
        <v>43.2872842401501</v>
      </c>
      <c r="ST34" s="99">
        <v>43.356138836772999</v>
      </c>
      <c r="SU34" s="99">
        <v>43.424993433395898</v>
      </c>
      <c r="SV34" s="99">
        <v>43.493848030018803</v>
      </c>
      <c r="SW34" s="99">
        <v>43.562702626641702</v>
      </c>
      <c r="SX34" s="99">
        <v>43.631557223264601</v>
      </c>
      <c r="SY34" s="99">
        <v>43.700411819887499</v>
      </c>
      <c r="SZ34" s="99">
        <v>43.769266416510298</v>
      </c>
      <c r="TA34" s="99">
        <v>43.838121013133197</v>
      </c>
      <c r="TB34" s="99">
        <v>43.906975609756103</v>
      </c>
      <c r="TC34" s="99">
        <v>43.975830206379001</v>
      </c>
      <c r="TD34" s="99">
        <v>44.0446848030019</v>
      </c>
      <c r="TE34" s="99">
        <v>44.113539399624798</v>
      </c>
      <c r="TF34" s="99">
        <v>44.182393996247697</v>
      </c>
      <c r="TG34" s="99">
        <v>44.251248592870603</v>
      </c>
      <c r="TH34" s="99">
        <v>44.320103189493501</v>
      </c>
      <c r="TI34" s="99">
        <v>44.3889577861164</v>
      </c>
      <c r="TJ34" s="99">
        <v>44.457812382739199</v>
      </c>
      <c r="TK34" s="99">
        <v>44.526666979362098</v>
      </c>
      <c r="TL34" s="99">
        <v>44.595521575985003</v>
      </c>
      <c r="TM34" s="99">
        <v>44.664376172607902</v>
      </c>
      <c r="TN34" s="99">
        <v>44.733230769230801</v>
      </c>
      <c r="TO34" s="99">
        <v>44.802085365853699</v>
      </c>
      <c r="TP34" s="99">
        <v>44.870939962476598</v>
      </c>
      <c r="TQ34" s="99">
        <v>44.939794559099496</v>
      </c>
      <c r="TR34" s="99">
        <v>45.008649155722402</v>
      </c>
      <c r="TS34" s="99">
        <v>45.077503752345201</v>
      </c>
      <c r="TT34" s="99">
        <v>45.1463583489681</v>
      </c>
      <c r="TU34" s="99">
        <v>45.215212945590999</v>
      </c>
      <c r="TV34" s="99">
        <v>45.284067542213897</v>
      </c>
      <c r="TW34" s="99">
        <v>45.352922138836803</v>
      </c>
      <c r="TX34" s="99">
        <v>45.421776735459702</v>
      </c>
      <c r="TY34" s="99">
        <v>45.4906313320826</v>
      </c>
      <c r="TZ34" s="99">
        <v>45.559485928705499</v>
      </c>
      <c r="UA34" s="99">
        <v>45.628340525328397</v>
      </c>
      <c r="UB34" s="99">
        <v>45.697195121951196</v>
      </c>
      <c r="UC34" s="99">
        <v>45.766049718574102</v>
      </c>
      <c r="UD34" s="99">
        <v>45.834904315197001</v>
      </c>
      <c r="UE34" s="99">
        <v>45.903758911819899</v>
      </c>
      <c r="UF34" s="99">
        <v>45.972613508442798</v>
      </c>
      <c r="UG34" s="99">
        <v>46.041468105065697</v>
      </c>
      <c r="UH34" s="99">
        <v>46.110322701688602</v>
      </c>
      <c r="UI34" s="99">
        <v>46.179177298311501</v>
      </c>
      <c r="UJ34" s="99">
        <v>46.2480318949344</v>
      </c>
      <c r="UK34" s="99">
        <v>46.316886491557298</v>
      </c>
      <c r="UL34" s="99">
        <v>46.385741088180097</v>
      </c>
      <c r="UM34" s="99">
        <v>46.454595684803003</v>
      </c>
      <c r="UN34" s="99">
        <v>46.523450281425902</v>
      </c>
      <c r="UO34" s="99">
        <v>46.5923048780488</v>
      </c>
      <c r="UP34" s="99">
        <v>46.661159474671699</v>
      </c>
      <c r="UQ34" s="99">
        <v>46.730014071294597</v>
      </c>
      <c r="UR34" s="99">
        <v>46.798868667917503</v>
      </c>
      <c r="US34" s="99">
        <v>46.867723264540402</v>
      </c>
      <c r="UT34" s="99">
        <v>46.9365778611633</v>
      </c>
    </row>
    <row r="35" spans="1:566" x14ac:dyDescent="0.2">
      <c r="A35" s="89">
        <v>14.5</v>
      </c>
      <c r="B35" s="90">
        <v>8.01</v>
      </c>
      <c r="C35" s="90">
        <v>8.08</v>
      </c>
      <c r="D35" s="90">
        <v>8.15</v>
      </c>
      <c r="E35" s="90">
        <v>8.2200000000000006</v>
      </c>
      <c r="F35" s="90">
        <v>8.2899999999999991</v>
      </c>
      <c r="G35" s="90">
        <v>8.35</v>
      </c>
      <c r="H35" s="90">
        <v>8.42</v>
      </c>
      <c r="I35" s="90">
        <v>8.49</v>
      </c>
      <c r="J35" s="90">
        <v>8.56</v>
      </c>
      <c r="K35" s="90">
        <v>8.6300000000000008</v>
      </c>
      <c r="L35" s="90">
        <v>8.69</v>
      </c>
      <c r="M35" s="90">
        <v>8.76</v>
      </c>
      <c r="N35" s="90">
        <v>8.83</v>
      </c>
      <c r="O35" s="90">
        <v>8.9</v>
      </c>
      <c r="P35" s="90">
        <v>8.9700000000000006</v>
      </c>
      <c r="Q35" s="90">
        <v>9.0399999999999991</v>
      </c>
      <c r="R35" s="90">
        <v>9.1</v>
      </c>
      <c r="S35" s="90">
        <v>9.17</v>
      </c>
      <c r="T35" s="90">
        <v>9.24</v>
      </c>
      <c r="U35" s="91">
        <v>9.31</v>
      </c>
      <c r="V35" s="90">
        <v>9.3800000000000008</v>
      </c>
      <c r="W35" s="90">
        <v>9.44</v>
      </c>
      <c r="X35" s="90">
        <v>9.51</v>
      </c>
      <c r="Y35" s="90">
        <v>9.58</v>
      </c>
      <c r="Z35" s="90">
        <v>9.65</v>
      </c>
      <c r="AA35" s="90">
        <v>9.7200000000000006</v>
      </c>
      <c r="AB35" s="90">
        <v>9.7799999999999994</v>
      </c>
      <c r="AC35" s="90">
        <v>9.85</v>
      </c>
      <c r="AD35" s="90">
        <v>9.92</v>
      </c>
      <c r="AE35" s="90">
        <v>9.99</v>
      </c>
      <c r="AF35" s="90">
        <v>10.06</v>
      </c>
      <c r="AG35" s="90">
        <v>10.130000000000001</v>
      </c>
      <c r="AH35" s="90">
        <v>10.19</v>
      </c>
      <c r="AI35" s="90">
        <v>10.26</v>
      </c>
      <c r="AJ35" s="90">
        <v>10.33</v>
      </c>
      <c r="AK35" s="90">
        <v>10.4</v>
      </c>
      <c r="AL35" s="90">
        <v>10.47</v>
      </c>
      <c r="AM35" s="90">
        <v>10.53</v>
      </c>
      <c r="AN35" s="90">
        <v>10.6</v>
      </c>
      <c r="AO35" s="91">
        <v>10.67</v>
      </c>
      <c r="AP35" s="90">
        <v>10.7385</v>
      </c>
      <c r="AQ35" s="90">
        <v>10.8066341463415</v>
      </c>
      <c r="AR35" s="90">
        <v>10.8747682926829</v>
      </c>
      <c r="AS35" s="90">
        <v>10.942902439024399</v>
      </c>
      <c r="AT35" s="90">
        <v>11.0110365853659</v>
      </c>
      <c r="AU35" s="90">
        <v>11.0791707317073</v>
      </c>
      <c r="AV35" s="90">
        <v>11.1473048780488</v>
      </c>
      <c r="AW35" s="90">
        <v>11.2154390243902</v>
      </c>
      <c r="AX35" s="90">
        <v>11.2835731707317</v>
      </c>
      <c r="AY35" s="90">
        <v>11.351707317073201</v>
      </c>
      <c r="AZ35" s="90">
        <v>11.419841463414601</v>
      </c>
      <c r="BA35" s="90">
        <v>11.4879756097561</v>
      </c>
      <c r="BB35" s="90">
        <v>11.5561097560976</v>
      </c>
      <c r="BC35" s="90">
        <v>11.624243902439</v>
      </c>
      <c r="BD35" s="90">
        <v>11.692378048780499</v>
      </c>
      <c r="BE35" s="90">
        <v>11.760512195122001</v>
      </c>
      <c r="BF35" s="90">
        <v>11.828646341463401</v>
      </c>
      <c r="BG35" s="90">
        <v>11.8967804878049</v>
      </c>
      <c r="BH35" s="90">
        <v>11.9649146341463</v>
      </c>
      <c r="BI35" s="91">
        <v>12.0330487804878</v>
      </c>
      <c r="BJ35" s="90">
        <v>12.101182926829299</v>
      </c>
      <c r="BK35" s="99">
        <v>12.169317073170699</v>
      </c>
      <c r="BL35" s="99">
        <v>12.2374512195122</v>
      </c>
      <c r="BM35" s="99">
        <v>12.3055853658537</v>
      </c>
      <c r="BN35" s="99">
        <v>12.3737195121951</v>
      </c>
      <c r="BO35" s="99">
        <v>12.4418536585366</v>
      </c>
      <c r="BP35" s="99">
        <v>12.509987804878101</v>
      </c>
      <c r="BQ35" s="99">
        <v>12.578121951219501</v>
      </c>
      <c r="BR35" s="99">
        <v>12.646256097561</v>
      </c>
      <c r="BS35" s="99">
        <v>12.7143902439024</v>
      </c>
      <c r="BT35" s="99">
        <v>12.7825243902439</v>
      </c>
      <c r="BU35" s="99">
        <v>12.850658536585399</v>
      </c>
      <c r="BV35" s="99">
        <v>12.918792682926799</v>
      </c>
      <c r="BW35" s="99">
        <v>12.986926829268301</v>
      </c>
      <c r="BX35" s="99">
        <v>13.0550609756098</v>
      </c>
      <c r="BY35" s="99">
        <v>13.1231951219512</v>
      </c>
      <c r="BZ35" s="99">
        <v>13.1913292682927</v>
      </c>
      <c r="CA35" s="99">
        <v>13.2594634146341</v>
      </c>
      <c r="CB35" s="99">
        <v>13.327597560975599</v>
      </c>
      <c r="CC35" s="99">
        <v>13.395731707317101</v>
      </c>
      <c r="CD35" s="99">
        <v>13.463865853658501</v>
      </c>
      <c r="CE35" s="99">
        <v>13.532</v>
      </c>
      <c r="CF35" s="99">
        <v>13.6001341463415</v>
      </c>
      <c r="CG35" s="99">
        <v>13.6682682926829</v>
      </c>
      <c r="CH35" s="99">
        <v>13.736402439024401</v>
      </c>
      <c r="CI35" s="99">
        <v>13.8045365853659</v>
      </c>
      <c r="CJ35" s="99">
        <v>13.8726707317073</v>
      </c>
      <c r="CK35" s="99">
        <v>13.9408048780488</v>
      </c>
      <c r="CL35" s="99">
        <v>14.0089390243902</v>
      </c>
      <c r="CM35" s="99">
        <v>14.077073170731699</v>
      </c>
      <c r="CN35" s="99">
        <v>14.145207317073201</v>
      </c>
      <c r="CO35" s="99">
        <v>14.213341463414601</v>
      </c>
      <c r="CP35" s="99">
        <v>14.2814756097561</v>
      </c>
      <c r="CQ35" s="99">
        <v>14.3496097560976</v>
      </c>
      <c r="CR35" s="99">
        <v>14.417743902439</v>
      </c>
      <c r="CS35" s="99">
        <v>14.485878048780499</v>
      </c>
      <c r="CT35" s="99">
        <v>14.554012195122001</v>
      </c>
      <c r="CU35" s="99">
        <v>14.622146341463401</v>
      </c>
      <c r="CV35" s="99">
        <v>14.6902804878049</v>
      </c>
      <c r="CW35" s="99">
        <v>14.7584146341463</v>
      </c>
      <c r="CX35" s="99">
        <v>14.8265487804878</v>
      </c>
      <c r="CY35" s="99">
        <v>14.894682926829301</v>
      </c>
      <c r="CZ35" s="99">
        <v>14.962817073170701</v>
      </c>
      <c r="DA35" s="99">
        <v>15.0309512195122</v>
      </c>
      <c r="DB35" s="99">
        <v>15.0990853658537</v>
      </c>
      <c r="DC35" s="99">
        <v>15.1672195121951</v>
      </c>
      <c r="DD35" s="99">
        <v>15.235353658536599</v>
      </c>
      <c r="DE35" s="99">
        <v>15.303487804877999</v>
      </c>
      <c r="DF35" s="99">
        <v>15.371621951219501</v>
      </c>
      <c r="DG35" s="99">
        <v>15.439756097561</v>
      </c>
      <c r="DH35" s="99">
        <v>15.5078902439024</v>
      </c>
      <c r="DI35" s="99">
        <v>15.5760243902439</v>
      </c>
      <c r="DJ35" s="99">
        <v>15.644158536585399</v>
      </c>
      <c r="DK35" s="99">
        <v>15.712292682926799</v>
      </c>
      <c r="DL35" s="99">
        <v>15.780426829268301</v>
      </c>
      <c r="DM35" s="99">
        <v>15.8485609756098</v>
      </c>
      <c r="DN35" s="99">
        <v>15.9166951219512</v>
      </c>
      <c r="DO35" s="99">
        <v>15.9848292682927</v>
      </c>
      <c r="DP35" s="99">
        <v>16.0529634146341</v>
      </c>
      <c r="DQ35" s="99">
        <v>16.121097560975599</v>
      </c>
      <c r="DR35" s="99">
        <v>16.189231707317099</v>
      </c>
      <c r="DS35" s="99">
        <v>16.257365853658499</v>
      </c>
      <c r="DT35" s="99">
        <v>16.325500000000002</v>
      </c>
      <c r="DU35" s="99">
        <v>16.393634146341501</v>
      </c>
      <c r="DV35" s="99">
        <v>16.461768292682901</v>
      </c>
      <c r="DW35" s="99">
        <v>16.529902439024401</v>
      </c>
      <c r="DX35" s="99">
        <v>16.5980365853659</v>
      </c>
      <c r="DY35" s="99">
        <v>16.6661707317073</v>
      </c>
      <c r="DZ35" s="99">
        <v>16.7343048780488</v>
      </c>
      <c r="EA35" s="99">
        <v>16.8024390243902</v>
      </c>
      <c r="EB35" s="99">
        <v>16.870573170731699</v>
      </c>
      <c r="EC35" s="99">
        <v>16.938707317073199</v>
      </c>
      <c r="ED35" s="99">
        <v>17.006841463414599</v>
      </c>
      <c r="EE35" s="99">
        <v>17.074975609756098</v>
      </c>
      <c r="EF35" s="99">
        <v>17.143109756097601</v>
      </c>
      <c r="EG35" s="99">
        <v>17.211243902439001</v>
      </c>
      <c r="EH35" s="99">
        <v>17.279378048780501</v>
      </c>
      <c r="EI35" s="99">
        <v>17.347512195122</v>
      </c>
      <c r="EJ35" s="99">
        <v>17.4156463414634</v>
      </c>
      <c r="EK35" s="99">
        <v>17.4837804878049</v>
      </c>
      <c r="EL35" s="99">
        <v>17.5519146341463</v>
      </c>
      <c r="EM35" s="99">
        <v>17.620048780487799</v>
      </c>
      <c r="EN35" s="99">
        <v>17.688182926829299</v>
      </c>
      <c r="EO35" s="99">
        <v>17.756317073170699</v>
      </c>
      <c r="EP35" s="99">
        <v>17.824451219512198</v>
      </c>
      <c r="EQ35" s="99">
        <v>17.892585365853702</v>
      </c>
      <c r="ER35" s="99">
        <v>17.960719512195102</v>
      </c>
      <c r="ES35" s="99">
        <v>18.028853658536601</v>
      </c>
      <c r="ET35" s="99">
        <v>18.096987804878101</v>
      </c>
      <c r="EU35" s="99">
        <v>18.165121951219501</v>
      </c>
      <c r="EV35" s="99">
        <v>18.233256097561</v>
      </c>
      <c r="EW35" s="99">
        <v>18.3013902439025</v>
      </c>
      <c r="EX35" s="99">
        <v>18.3695243902439</v>
      </c>
      <c r="EY35" s="99">
        <v>18.437658536585399</v>
      </c>
      <c r="EZ35" s="99">
        <v>18.505792682926899</v>
      </c>
      <c r="FA35" s="99">
        <v>18.573926829268299</v>
      </c>
      <c r="FB35" s="99">
        <v>18.642060975609802</v>
      </c>
      <c r="FC35" s="99">
        <v>18.710195121951301</v>
      </c>
      <c r="FD35" s="99">
        <v>18.778329268292701</v>
      </c>
      <c r="FE35" s="99">
        <v>18.846463414634201</v>
      </c>
      <c r="FF35" s="99">
        <v>18.914597560975601</v>
      </c>
      <c r="FG35" s="99">
        <v>18.9827317073171</v>
      </c>
      <c r="FH35" s="99">
        <v>19.0508658536586</v>
      </c>
      <c r="FI35" s="99">
        <v>19.119</v>
      </c>
      <c r="FJ35" s="99">
        <v>19.187134146341499</v>
      </c>
      <c r="FK35" s="99">
        <v>19.255268292682999</v>
      </c>
      <c r="FL35" s="99">
        <v>19.323402439024399</v>
      </c>
      <c r="FM35" s="99">
        <v>19.391536585365898</v>
      </c>
      <c r="FN35" s="99">
        <v>19.459670731707401</v>
      </c>
      <c r="FO35" s="99">
        <v>19.527804878048801</v>
      </c>
      <c r="FP35" s="99">
        <v>19.595939024390301</v>
      </c>
      <c r="FQ35" s="99">
        <v>19.664073170731701</v>
      </c>
      <c r="FR35" s="99">
        <v>19.7322073170732</v>
      </c>
      <c r="FS35" s="99">
        <v>19.8003414634147</v>
      </c>
      <c r="FT35" s="99">
        <v>19.8684756097561</v>
      </c>
      <c r="FU35" s="99">
        <v>19.936609756097599</v>
      </c>
      <c r="FV35" s="99">
        <v>20.004743902439099</v>
      </c>
      <c r="FW35" s="99">
        <v>20.072878048780499</v>
      </c>
      <c r="FX35" s="99">
        <v>20.141012195121998</v>
      </c>
      <c r="FY35" s="99">
        <v>20.209146341463502</v>
      </c>
      <c r="FZ35" s="99">
        <v>20.277280487804902</v>
      </c>
      <c r="GA35" s="99">
        <v>20.345414634146401</v>
      </c>
      <c r="GB35" s="99">
        <v>20.413548780487801</v>
      </c>
      <c r="GC35" s="99">
        <v>20.481682926829301</v>
      </c>
      <c r="GD35" s="99">
        <v>20.5498170731708</v>
      </c>
      <c r="GE35" s="99">
        <v>20.6179512195122</v>
      </c>
      <c r="GF35" s="99">
        <v>20.6860853658537</v>
      </c>
      <c r="GG35" s="99">
        <v>20.754219512195199</v>
      </c>
      <c r="GH35" s="99">
        <v>20.822353658536599</v>
      </c>
      <c r="GI35" s="99">
        <v>20.890487804878099</v>
      </c>
      <c r="GJ35" s="99">
        <v>20.958621951219499</v>
      </c>
      <c r="GK35" s="99">
        <v>21.026756097561002</v>
      </c>
      <c r="GL35" s="99">
        <v>21.094890243902501</v>
      </c>
      <c r="GM35" s="99">
        <v>21.163024390243901</v>
      </c>
      <c r="GN35" s="99">
        <v>21.231158536585401</v>
      </c>
      <c r="GO35" s="99">
        <v>21.2992926829269</v>
      </c>
      <c r="GP35" s="99">
        <v>21.3674268292683</v>
      </c>
      <c r="GQ35" s="99">
        <v>21.4355609756098</v>
      </c>
      <c r="GR35" s="99">
        <v>21.503695121951299</v>
      </c>
      <c r="GS35" s="99">
        <v>21.571829268292699</v>
      </c>
      <c r="GT35" s="99">
        <v>21.639963414634199</v>
      </c>
      <c r="GU35" s="99">
        <v>21.708097560975599</v>
      </c>
      <c r="GV35" s="99">
        <v>21.776231707317098</v>
      </c>
      <c r="GW35" s="99">
        <v>21.844365853658601</v>
      </c>
      <c r="GX35" s="99">
        <v>21.912500000000001</v>
      </c>
      <c r="GY35" s="99">
        <v>21.980634146341501</v>
      </c>
      <c r="GZ35" s="99">
        <v>22.048768292683</v>
      </c>
      <c r="HA35" s="99">
        <v>22.1169024390244</v>
      </c>
      <c r="HB35" s="99">
        <v>22.1850365853659</v>
      </c>
      <c r="HC35" s="99">
        <v>22.253170731707399</v>
      </c>
      <c r="HD35" s="99">
        <v>22.321304878048799</v>
      </c>
      <c r="HE35" s="99">
        <v>22.389439024390299</v>
      </c>
      <c r="HF35" s="99">
        <v>22.457573170731699</v>
      </c>
      <c r="HG35" s="99">
        <v>22.525707317073199</v>
      </c>
      <c r="HH35" s="99">
        <v>22.593841463414702</v>
      </c>
      <c r="HI35" s="99">
        <v>22.661975609756102</v>
      </c>
      <c r="HJ35" s="99">
        <v>22.730109756097601</v>
      </c>
      <c r="HK35" s="99">
        <v>22.798243902439101</v>
      </c>
      <c r="HL35" s="99">
        <v>22.866378048780501</v>
      </c>
      <c r="HM35" s="99">
        <v>22.934512195122</v>
      </c>
      <c r="HN35" s="99">
        <v>23.0026463414635</v>
      </c>
      <c r="HO35" s="99">
        <v>23.0707804878049</v>
      </c>
      <c r="HP35" s="99">
        <v>23.138914634146399</v>
      </c>
      <c r="HQ35" s="99">
        <v>23.207048780487799</v>
      </c>
      <c r="HR35" s="99">
        <v>23.275182926829299</v>
      </c>
      <c r="HS35" s="99">
        <v>23.343317073170802</v>
      </c>
      <c r="HT35" s="99">
        <v>23.411451219512202</v>
      </c>
      <c r="HU35" s="99">
        <v>23.479585365853701</v>
      </c>
      <c r="HV35" s="99">
        <v>23.547719512195201</v>
      </c>
      <c r="HW35" s="99">
        <v>23.615853658536601</v>
      </c>
      <c r="HX35" s="99">
        <v>23.6839878048781</v>
      </c>
      <c r="HY35" s="99">
        <v>23.7521219512195</v>
      </c>
      <c r="HZ35" s="99">
        <v>23.820256097561</v>
      </c>
      <c r="IA35" s="99">
        <v>23.888390243902499</v>
      </c>
      <c r="IB35" s="99">
        <v>23.956524390243899</v>
      </c>
      <c r="IC35" s="99">
        <v>24.024658536585399</v>
      </c>
      <c r="ID35" s="99">
        <v>24.092792682926898</v>
      </c>
      <c r="IE35" s="99">
        <v>24.160926829268298</v>
      </c>
      <c r="IF35" s="99">
        <v>24.229060975609801</v>
      </c>
      <c r="IG35" s="99">
        <v>24.297195121951301</v>
      </c>
      <c r="IH35" s="99">
        <v>24.365329268292701</v>
      </c>
      <c r="II35" s="99">
        <v>24.4334634146342</v>
      </c>
      <c r="IJ35" s="99">
        <v>24.5015975609756</v>
      </c>
      <c r="IK35" s="99">
        <v>24.5697317073171</v>
      </c>
      <c r="IL35" s="99">
        <v>24.637865853658599</v>
      </c>
      <c r="IM35" s="99">
        <v>24.706</v>
      </c>
      <c r="IN35" s="99">
        <v>24.774134146341499</v>
      </c>
      <c r="IO35" s="99">
        <v>24.842268292682999</v>
      </c>
      <c r="IP35" s="99">
        <v>24.910402439024399</v>
      </c>
      <c r="IQ35" s="99">
        <v>24.978536585365902</v>
      </c>
      <c r="IR35" s="99">
        <v>25.046670731707401</v>
      </c>
      <c r="IS35" s="99">
        <v>25.114804878048801</v>
      </c>
      <c r="IT35" s="99">
        <v>25.182939024390301</v>
      </c>
      <c r="IU35" s="99">
        <v>25.251073170731701</v>
      </c>
      <c r="IV35" s="99">
        <v>25.3192073170732</v>
      </c>
      <c r="IW35" s="99">
        <v>25.3873414634147</v>
      </c>
      <c r="IX35" s="99">
        <v>25.4554756097561</v>
      </c>
      <c r="IY35" s="99">
        <v>25.523609756097599</v>
      </c>
      <c r="IZ35" s="99">
        <v>25.591743902439099</v>
      </c>
      <c r="JA35" s="99">
        <v>25.659878048780499</v>
      </c>
      <c r="JB35" s="99">
        <v>25.728012195122002</v>
      </c>
      <c r="JC35" s="99">
        <v>25.796146341463398</v>
      </c>
      <c r="JD35" s="99">
        <v>25.864280487804901</v>
      </c>
      <c r="JE35" s="99">
        <v>25.932414634146401</v>
      </c>
      <c r="JF35" s="99">
        <v>26.000548780487801</v>
      </c>
      <c r="JG35" s="99">
        <v>26.0686829268293</v>
      </c>
      <c r="JH35" s="99">
        <v>26.1368170731708</v>
      </c>
      <c r="JI35" s="99">
        <v>26.2049512195122</v>
      </c>
      <c r="JJ35" s="99">
        <v>26.273085365853699</v>
      </c>
      <c r="JK35" s="99">
        <v>26.341219512195199</v>
      </c>
      <c r="JL35" s="99">
        <v>26.409353658536599</v>
      </c>
      <c r="JM35" s="99">
        <v>26.477487804878098</v>
      </c>
      <c r="JN35" s="99">
        <v>26.545621951219498</v>
      </c>
      <c r="JO35" s="99">
        <v>26.613756097561001</v>
      </c>
      <c r="JP35" s="99">
        <v>26.681890243902501</v>
      </c>
      <c r="JQ35" s="99">
        <v>26.750024390243901</v>
      </c>
      <c r="JR35" s="99">
        <v>26.8181585365854</v>
      </c>
      <c r="JS35" s="99">
        <v>26.8862926829269</v>
      </c>
      <c r="JT35" s="99">
        <v>26.9544268292683</v>
      </c>
      <c r="JU35" s="99">
        <v>27.0225609756098</v>
      </c>
      <c r="JV35" s="99">
        <v>27.090695121951299</v>
      </c>
      <c r="JW35" s="99">
        <v>27.158829268292699</v>
      </c>
      <c r="JX35" s="99">
        <v>27.226963414634199</v>
      </c>
      <c r="JY35" s="99">
        <v>27.295097560975599</v>
      </c>
      <c r="JZ35" s="99">
        <v>27.363231707317102</v>
      </c>
      <c r="KA35" s="99">
        <v>27.431365853658601</v>
      </c>
      <c r="KB35" s="99">
        <v>27.499500000000001</v>
      </c>
      <c r="KC35" s="99">
        <v>27.567634146341501</v>
      </c>
      <c r="KD35" s="99">
        <v>27.635768292683</v>
      </c>
      <c r="KE35" s="99">
        <v>27.7039024390244</v>
      </c>
      <c r="KF35" s="99">
        <v>27.7720365853659</v>
      </c>
      <c r="KG35" s="99">
        <v>27.8401707317073</v>
      </c>
      <c r="KH35" s="99">
        <v>27.908304878048799</v>
      </c>
      <c r="KI35" s="99">
        <v>27.976439024390299</v>
      </c>
      <c r="KJ35" s="99">
        <v>28.044573170731699</v>
      </c>
      <c r="KK35" s="99">
        <v>28.112707317073198</v>
      </c>
      <c r="KL35" s="99">
        <v>28.180841463414701</v>
      </c>
      <c r="KM35" s="99">
        <v>28.248975609756101</v>
      </c>
      <c r="KN35" s="99">
        <v>28.317109756097601</v>
      </c>
      <c r="KO35" s="99">
        <v>28.3852439024391</v>
      </c>
      <c r="KP35" s="99">
        <v>28.4533780487805</v>
      </c>
      <c r="KQ35" s="99">
        <v>28.521512195122</v>
      </c>
      <c r="KR35" s="99">
        <v>28.5896463414634</v>
      </c>
      <c r="KS35" s="99">
        <v>28.657780487804899</v>
      </c>
      <c r="KT35" s="99">
        <v>28.725914634146399</v>
      </c>
      <c r="KU35" s="99">
        <v>28.794048780487799</v>
      </c>
      <c r="KV35" s="99">
        <v>28.862182926829298</v>
      </c>
      <c r="KW35" s="99">
        <v>28.930317073170801</v>
      </c>
      <c r="KX35" s="99">
        <v>28.998451219512202</v>
      </c>
      <c r="KY35" s="99">
        <v>29.066585365853701</v>
      </c>
      <c r="KZ35" s="99">
        <v>29.134719512195201</v>
      </c>
      <c r="LA35" s="99">
        <v>29.202853658536601</v>
      </c>
      <c r="LB35" s="99">
        <v>29.2709878048781</v>
      </c>
      <c r="LC35" s="99">
        <v>29.3391219512195</v>
      </c>
      <c r="LD35" s="99">
        <v>29.407256097561</v>
      </c>
      <c r="LE35" s="99">
        <v>29.475390243902499</v>
      </c>
      <c r="LF35" s="99">
        <v>29.543524390243899</v>
      </c>
      <c r="LG35" s="99">
        <v>29.611658536585399</v>
      </c>
      <c r="LH35" s="99">
        <v>29.679792682926902</v>
      </c>
      <c r="LI35" s="99">
        <v>29.747926829268302</v>
      </c>
      <c r="LJ35" s="99">
        <v>29.816060975609801</v>
      </c>
      <c r="LK35" s="99">
        <v>29.884195121951301</v>
      </c>
      <c r="LL35" s="99">
        <v>29.952329268292701</v>
      </c>
      <c r="LM35" s="99">
        <v>30.0204634146342</v>
      </c>
      <c r="LN35" s="99">
        <v>30.0885975609756</v>
      </c>
      <c r="LO35" s="99">
        <v>30.1567317073171</v>
      </c>
      <c r="LP35" s="99">
        <v>30.224865853658599</v>
      </c>
      <c r="LQ35" s="99">
        <v>30.292999999999999</v>
      </c>
      <c r="LR35" s="99">
        <v>30.361134146341499</v>
      </c>
      <c r="LS35" s="99">
        <v>30.429268292682998</v>
      </c>
      <c r="LT35" s="99">
        <v>30.497402439024398</v>
      </c>
      <c r="LU35" s="99">
        <v>30.565536585365901</v>
      </c>
      <c r="LV35" s="99">
        <v>30.633670731707401</v>
      </c>
      <c r="LW35" s="99">
        <v>30.701804878048801</v>
      </c>
      <c r="LX35" s="99">
        <v>30.7699390243903</v>
      </c>
      <c r="LY35" s="99">
        <v>30.8380731707317</v>
      </c>
      <c r="LZ35" s="99">
        <v>30.9062073170732</v>
      </c>
      <c r="MA35" s="99">
        <v>30.974341463414699</v>
      </c>
      <c r="MB35" s="99">
        <v>31.042475609756099</v>
      </c>
      <c r="MC35" s="99">
        <v>31.110609756097599</v>
      </c>
      <c r="MD35" s="99">
        <v>31.178743902439098</v>
      </c>
      <c r="ME35" s="99">
        <v>31.246878048780498</v>
      </c>
      <c r="MF35" s="99">
        <v>31.315012195122002</v>
      </c>
      <c r="MG35" s="99">
        <v>31.383146341463402</v>
      </c>
      <c r="MH35" s="99">
        <v>31.451280487804901</v>
      </c>
      <c r="MI35" s="99">
        <v>31.519414634146401</v>
      </c>
      <c r="MJ35" s="99">
        <v>31.587548780487801</v>
      </c>
      <c r="MK35" s="99">
        <v>31.6556829268293</v>
      </c>
      <c r="ML35" s="99">
        <v>31.7238170731708</v>
      </c>
      <c r="MM35" s="99">
        <v>31.7919512195122</v>
      </c>
      <c r="MN35" s="99">
        <v>31.860085365853699</v>
      </c>
      <c r="MO35" s="99">
        <v>31.928219512195199</v>
      </c>
      <c r="MP35" s="99">
        <v>31.996353658536599</v>
      </c>
      <c r="MQ35" s="99">
        <v>32.064487804878098</v>
      </c>
      <c r="MR35" s="99">
        <v>32.132621951219498</v>
      </c>
      <c r="MS35" s="99">
        <v>32.200756097560998</v>
      </c>
      <c r="MT35" s="99">
        <v>32.268890243902497</v>
      </c>
      <c r="MU35" s="99">
        <v>32.337024390243897</v>
      </c>
      <c r="MV35" s="99">
        <v>32.405158536585397</v>
      </c>
      <c r="MW35" s="99">
        <v>32.473292682926903</v>
      </c>
      <c r="MX35" s="99">
        <v>32.541426829268303</v>
      </c>
      <c r="MY35" s="99">
        <v>32.609560975609803</v>
      </c>
      <c r="MZ35" s="99">
        <v>32.677695121951302</v>
      </c>
      <c r="NA35" s="99">
        <v>32.745829268292702</v>
      </c>
      <c r="NB35" s="99">
        <v>32.813963414634202</v>
      </c>
      <c r="NC35" s="99">
        <v>32.882097560975602</v>
      </c>
      <c r="ND35" s="99">
        <v>32.950231707317101</v>
      </c>
      <c r="NE35" s="99">
        <v>33.018365853658601</v>
      </c>
      <c r="NF35" s="99">
        <v>33.086500000000001</v>
      </c>
      <c r="NG35" s="99">
        <v>33.1546341463415</v>
      </c>
      <c r="NH35" s="99">
        <v>33.222768292683</v>
      </c>
      <c r="NI35" s="99">
        <v>33.2909024390244</v>
      </c>
      <c r="NJ35" s="99">
        <v>33.359036585365899</v>
      </c>
      <c r="NK35" s="99">
        <v>33.427170731707299</v>
      </c>
      <c r="NL35" s="99">
        <v>33.495304878048799</v>
      </c>
      <c r="NM35" s="99">
        <v>33.563439024390298</v>
      </c>
      <c r="NN35" s="99">
        <v>33.631573170731698</v>
      </c>
      <c r="NO35" s="99">
        <v>33.699707317073198</v>
      </c>
      <c r="NP35" s="99">
        <v>33.767841463414698</v>
      </c>
      <c r="NQ35" s="99">
        <v>33.835975609756098</v>
      </c>
      <c r="NR35" s="99">
        <v>33.904109756097597</v>
      </c>
      <c r="NS35" s="99">
        <v>33.972243902439097</v>
      </c>
      <c r="NT35" s="99">
        <v>34.040378048780497</v>
      </c>
      <c r="NU35" s="99">
        <v>34.108512195122003</v>
      </c>
      <c r="NV35" s="99">
        <v>34.176646341463403</v>
      </c>
      <c r="NW35" s="99">
        <v>34.244780487804903</v>
      </c>
      <c r="NX35" s="99">
        <v>34.312914634146402</v>
      </c>
      <c r="NY35" s="99">
        <v>34.381048780487802</v>
      </c>
      <c r="NZ35" s="99">
        <v>34.449182926829302</v>
      </c>
      <c r="OA35" s="99">
        <v>34.517317073170801</v>
      </c>
      <c r="OB35" s="99">
        <v>34.585451219512201</v>
      </c>
      <c r="OC35" s="99">
        <v>34.653585365853701</v>
      </c>
      <c r="OD35" s="99">
        <v>34.7217195121952</v>
      </c>
      <c r="OE35" s="99">
        <v>34.7898536585366</v>
      </c>
      <c r="OF35" s="99">
        <v>34.8579878048781</v>
      </c>
      <c r="OG35" s="99">
        <v>34.9261219512195</v>
      </c>
      <c r="OH35" s="99">
        <v>34.994256097560999</v>
      </c>
      <c r="OI35" s="99">
        <v>35.062390243902499</v>
      </c>
      <c r="OJ35" s="99">
        <v>35.130524390243899</v>
      </c>
      <c r="OK35" s="99">
        <v>35.198658536585398</v>
      </c>
      <c r="OL35" s="99">
        <v>35.266792682926898</v>
      </c>
      <c r="OM35" s="99">
        <v>35.334926829268298</v>
      </c>
      <c r="ON35" s="99">
        <v>35.403060975609797</v>
      </c>
      <c r="OO35" s="99">
        <v>35.471195121951297</v>
      </c>
      <c r="OP35" s="99">
        <v>35.539329268292697</v>
      </c>
      <c r="OQ35" s="99">
        <v>35.607463414634204</v>
      </c>
      <c r="OR35" s="99">
        <v>35.675597560975604</v>
      </c>
      <c r="OS35" s="99">
        <v>35.743731707317103</v>
      </c>
      <c r="OT35" s="99">
        <v>35.811865853658603</v>
      </c>
      <c r="OU35" s="99">
        <v>35.880000000000003</v>
      </c>
      <c r="OV35" s="99">
        <v>35.948134146341502</v>
      </c>
      <c r="OW35" s="99">
        <v>36.016268292683002</v>
      </c>
      <c r="OX35" s="99">
        <v>36.084402439024402</v>
      </c>
      <c r="OY35" s="99">
        <v>36.152536585365901</v>
      </c>
      <c r="OZ35" s="99">
        <v>36.220670731707401</v>
      </c>
      <c r="PA35" s="99">
        <v>36.288804878048801</v>
      </c>
      <c r="PB35" s="99">
        <v>36.3569390243903</v>
      </c>
      <c r="PC35" s="99">
        <v>36.4250731707317</v>
      </c>
      <c r="PD35" s="99">
        <v>36.4932073170732</v>
      </c>
      <c r="PE35" s="99">
        <v>36.561341463414699</v>
      </c>
      <c r="PF35" s="99">
        <v>36.629475609756099</v>
      </c>
      <c r="PG35" s="99">
        <v>36.697609756097599</v>
      </c>
      <c r="PH35" s="99">
        <v>36.765743902439098</v>
      </c>
      <c r="PI35" s="99">
        <v>36.833878048780498</v>
      </c>
      <c r="PJ35" s="99">
        <v>36.902012195121998</v>
      </c>
      <c r="PK35" s="99">
        <v>36.970146341463398</v>
      </c>
      <c r="PL35" s="99">
        <v>37.038280487804897</v>
      </c>
      <c r="PM35" s="99">
        <v>37.106414634146397</v>
      </c>
      <c r="PN35" s="99">
        <v>37.174548780487797</v>
      </c>
      <c r="PO35" s="99">
        <v>37.242682926829303</v>
      </c>
      <c r="PP35" s="99">
        <v>37.310817073170803</v>
      </c>
      <c r="PQ35" s="99">
        <v>37.378951219512203</v>
      </c>
      <c r="PR35" s="99">
        <v>37.447085365853702</v>
      </c>
      <c r="PS35" s="99">
        <v>37.515219512195202</v>
      </c>
      <c r="PT35" s="99">
        <v>37.583353658536602</v>
      </c>
      <c r="PU35" s="99">
        <v>37.651487804878101</v>
      </c>
      <c r="PV35" s="99">
        <v>37.719621951219501</v>
      </c>
      <c r="PW35" s="99">
        <v>37.787756097561001</v>
      </c>
      <c r="PX35" s="99">
        <v>37.8558902439025</v>
      </c>
      <c r="PY35" s="99">
        <v>37.9240243902439</v>
      </c>
      <c r="PZ35" s="99">
        <v>37.9921585365854</v>
      </c>
      <c r="QA35" s="99">
        <v>38.060292682926899</v>
      </c>
      <c r="QB35" s="99">
        <v>38.1284268292683</v>
      </c>
      <c r="QC35" s="99">
        <v>38.196560975609799</v>
      </c>
      <c r="QD35" s="99">
        <v>38.264695121951299</v>
      </c>
      <c r="QE35" s="99">
        <v>38.332829268292699</v>
      </c>
      <c r="QF35" s="99">
        <v>38.400963414634198</v>
      </c>
      <c r="QG35" s="99">
        <v>38.469097560975598</v>
      </c>
      <c r="QH35" s="99">
        <v>38.537231707317098</v>
      </c>
      <c r="QI35" s="99">
        <v>38.605365853658597</v>
      </c>
      <c r="QJ35" s="99">
        <v>38.673499999999997</v>
      </c>
      <c r="QK35" s="99">
        <v>38.741634146341497</v>
      </c>
      <c r="QL35" s="99">
        <v>38.809768292683003</v>
      </c>
      <c r="QM35" s="99">
        <v>38.877902439024403</v>
      </c>
      <c r="QN35" s="99">
        <v>38.946036585365903</v>
      </c>
      <c r="QO35" s="99">
        <v>39.014170731707303</v>
      </c>
      <c r="QP35" s="99">
        <v>39.082304878048802</v>
      </c>
      <c r="QQ35" s="99">
        <v>39.150439024390302</v>
      </c>
      <c r="QR35" s="99">
        <v>39.218573170731702</v>
      </c>
      <c r="QS35" s="99">
        <v>39.286707317073201</v>
      </c>
      <c r="QT35" s="99">
        <v>39.354841463414701</v>
      </c>
      <c r="QU35" s="99">
        <v>39.422975609756101</v>
      </c>
      <c r="QV35" s="99">
        <v>39.4911097560976</v>
      </c>
      <c r="QW35" s="99">
        <v>39.5592439024391</v>
      </c>
      <c r="QX35" s="99">
        <v>39.6273780487805</v>
      </c>
      <c r="QY35" s="99">
        <v>39.695512195121999</v>
      </c>
      <c r="QZ35" s="99">
        <v>39.763646341463399</v>
      </c>
      <c r="RA35" s="99">
        <v>39.831780487804899</v>
      </c>
      <c r="RB35" s="99">
        <v>39.899914634146398</v>
      </c>
      <c r="RC35" s="99">
        <v>39.968048780487798</v>
      </c>
      <c r="RD35" s="99">
        <v>40.036182926829298</v>
      </c>
      <c r="RE35" s="99">
        <v>40.104317073170797</v>
      </c>
      <c r="RF35" s="99">
        <v>40.172451219512197</v>
      </c>
      <c r="RG35" s="99">
        <v>40.240585365853697</v>
      </c>
      <c r="RH35" s="99">
        <v>40.308719512195204</v>
      </c>
      <c r="RI35" s="99">
        <v>40.376853658536596</v>
      </c>
      <c r="RJ35" s="99">
        <v>40.444987804878103</v>
      </c>
      <c r="RK35" s="99">
        <v>40.513121951219503</v>
      </c>
      <c r="RL35" s="99">
        <v>40.581256097561003</v>
      </c>
      <c r="RM35" s="99">
        <v>40.649390243902502</v>
      </c>
      <c r="RN35" s="99">
        <v>40.717524390243902</v>
      </c>
      <c r="RO35" s="99">
        <v>40.785658536585402</v>
      </c>
      <c r="RP35" s="99">
        <v>40.853792682926901</v>
      </c>
      <c r="RQ35" s="99">
        <v>40.921926829268301</v>
      </c>
      <c r="RR35" s="99">
        <v>40.990060975609801</v>
      </c>
      <c r="RS35" s="99">
        <v>41.0581951219513</v>
      </c>
      <c r="RT35" s="99">
        <v>41.1263292682927</v>
      </c>
      <c r="RU35" s="99">
        <v>41.1944634146342</v>
      </c>
      <c r="RV35" s="99">
        <v>41.2625975609756</v>
      </c>
      <c r="RW35" s="99">
        <v>41.330731707317099</v>
      </c>
      <c r="RX35" s="99">
        <v>41.398865853658599</v>
      </c>
      <c r="RY35" s="99">
        <v>41.466999999999999</v>
      </c>
      <c r="RZ35" s="99">
        <v>41.535134146341498</v>
      </c>
      <c r="SA35" s="99">
        <v>41.603268292682998</v>
      </c>
      <c r="SB35" s="99">
        <v>41.671402439024398</v>
      </c>
      <c r="SC35" s="99">
        <v>41.739536585365897</v>
      </c>
      <c r="SD35" s="99">
        <v>41.807670731707297</v>
      </c>
      <c r="SE35" s="99">
        <v>41.875804878048797</v>
      </c>
      <c r="SF35" s="99">
        <v>41.943939024390303</v>
      </c>
      <c r="SG35" s="99">
        <v>42.012073170731703</v>
      </c>
      <c r="SH35" s="99">
        <v>42.080207317073203</v>
      </c>
      <c r="SI35" s="99">
        <v>42.148341463414702</v>
      </c>
      <c r="SJ35" s="99">
        <v>42.216475609756102</v>
      </c>
      <c r="SK35" s="99">
        <v>42.284609756097602</v>
      </c>
      <c r="SL35" s="99">
        <v>42.352743902439101</v>
      </c>
      <c r="SM35" s="99">
        <v>42.420878048780502</v>
      </c>
      <c r="SN35" s="99">
        <v>42.489012195122001</v>
      </c>
      <c r="SO35" s="99">
        <v>42.557146341463401</v>
      </c>
      <c r="SP35" s="99">
        <v>42.625280487804901</v>
      </c>
      <c r="SQ35" s="99">
        <v>42.6934146341464</v>
      </c>
      <c r="SR35" s="99">
        <v>42.7615487804878</v>
      </c>
      <c r="SS35" s="99">
        <v>42.8296829268293</v>
      </c>
      <c r="ST35" s="99">
        <v>42.897817073170799</v>
      </c>
      <c r="SU35" s="99">
        <v>42.965951219512199</v>
      </c>
      <c r="SV35" s="99">
        <v>43.034085365853699</v>
      </c>
      <c r="SW35" s="99">
        <v>43.102219512195198</v>
      </c>
      <c r="SX35" s="99">
        <v>43.170353658536598</v>
      </c>
      <c r="SY35" s="99">
        <v>43.238487804878098</v>
      </c>
      <c r="SZ35" s="99">
        <v>43.306621951219498</v>
      </c>
      <c r="TA35" s="99">
        <v>43.374756097560997</v>
      </c>
      <c r="TB35" s="99">
        <v>43.442890243902497</v>
      </c>
      <c r="TC35" s="99">
        <v>43.511024390243897</v>
      </c>
      <c r="TD35" s="99">
        <v>43.579158536585403</v>
      </c>
      <c r="TE35" s="99">
        <v>43.647292682926903</v>
      </c>
      <c r="TF35" s="99">
        <v>43.715426829268303</v>
      </c>
      <c r="TG35" s="99">
        <v>43.783560975609802</v>
      </c>
      <c r="TH35" s="99">
        <v>43.851695121951302</v>
      </c>
      <c r="TI35" s="99">
        <v>43.919829268292702</v>
      </c>
      <c r="TJ35" s="99">
        <v>43.987963414634201</v>
      </c>
      <c r="TK35" s="99">
        <v>44.056097560975601</v>
      </c>
      <c r="TL35" s="99">
        <v>44.124231707317101</v>
      </c>
      <c r="TM35" s="99">
        <v>44.1923658536586</v>
      </c>
      <c r="TN35" s="99">
        <v>44.2605</v>
      </c>
      <c r="TO35" s="99">
        <v>44.3286341463415</v>
      </c>
      <c r="TP35" s="99">
        <v>44.396768292682999</v>
      </c>
      <c r="TQ35" s="99">
        <v>44.464902439024399</v>
      </c>
      <c r="TR35" s="99">
        <v>44.533036585365899</v>
      </c>
      <c r="TS35" s="99">
        <v>44.601170731707299</v>
      </c>
      <c r="TT35" s="99">
        <v>44.669304878048798</v>
      </c>
      <c r="TU35" s="99">
        <v>44.737439024390298</v>
      </c>
      <c r="TV35" s="99">
        <v>44.805573170731698</v>
      </c>
      <c r="TW35" s="99">
        <v>44.873707317073197</v>
      </c>
      <c r="TX35" s="99">
        <v>44.941841463414697</v>
      </c>
      <c r="TY35" s="99">
        <v>45.009975609756097</v>
      </c>
      <c r="TZ35" s="99">
        <v>45.078109756097597</v>
      </c>
      <c r="UA35" s="99">
        <v>45.146243902439103</v>
      </c>
      <c r="UB35" s="99">
        <v>45.214378048780503</v>
      </c>
      <c r="UC35" s="99">
        <v>45.282512195122003</v>
      </c>
      <c r="UD35" s="99">
        <v>45.350646341463403</v>
      </c>
      <c r="UE35" s="99">
        <v>45.418780487804902</v>
      </c>
      <c r="UF35" s="99">
        <v>45.486914634146402</v>
      </c>
      <c r="UG35" s="99">
        <v>45.555048780487802</v>
      </c>
      <c r="UH35" s="99">
        <v>45.623182926829301</v>
      </c>
      <c r="UI35" s="99">
        <v>45.691317073170801</v>
      </c>
      <c r="UJ35" s="99">
        <v>45.759451219512201</v>
      </c>
      <c r="UK35" s="99">
        <v>45.8275853658537</v>
      </c>
      <c r="UL35" s="99">
        <v>45.8957195121952</v>
      </c>
      <c r="UM35" s="99">
        <v>45.9638536585366</v>
      </c>
      <c r="UN35" s="99">
        <v>46.031987804878099</v>
      </c>
      <c r="UO35" s="99">
        <v>46.100121951219499</v>
      </c>
      <c r="UP35" s="99">
        <v>46.168256097560999</v>
      </c>
      <c r="UQ35" s="99">
        <v>46.236390243902498</v>
      </c>
      <c r="UR35" s="99">
        <v>46.304524390243898</v>
      </c>
      <c r="US35" s="99">
        <v>46.372658536585497</v>
      </c>
      <c r="UT35" s="99">
        <v>46.440792682926897</v>
      </c>
    </row>
    <row r="36" spans="1:566" x14ac:dyDescent="0.2">
      <c r="A36" s="89">
        <v>15</v>
      </c>
      <c r="B36" s="90">
        <v>7.93</v>
      </c>
      <c r="C36" s="90">
        <v>7.99</v>
      </c>
      <c r="D36" s="90">
        <v>8.06</v>
      </c>
      <c r="E36" s="90">
        <v>8.1300000000000008</v>
      </c>
      <c r="F36" s="90">
        <v>8.1999999999999993</v>
      </c>
      <c r="G36" s="90">
        <v>8.26</v>
      </c>
      <c r="H36" s="90">
        <v>8.33</v>
      </c>
      <c r="I36" s="90">
        <v>8.4</v>
      </c>
      <c r="J36" s="90">
        <v>8.4700000000000006</v>
      </c>
      <c r="K36" s="90">
        <v>8.5299999999999994</v>
      </c>
      <c r="L36" s="90">
        <v>8.6</v>
      </c>
      <c r="M36" s="90">
        <v>8.67</v>
      </c>
      <c r="N36" s="90">
        <v>8.74</v>
      </c>
      <c r="O36" s="90">
        <v>8.8000000000000007</v>
      </c>
      <c r="P36" s="90">
        <v>8.8699999999999992</v>
      </c>
      <c r="Q36" s="90">
        <v>8.94</v>
      </c>
      <c r="R36" s="90">
        <v>9</v>
      </c>
      <c r="S36" s="90">
        <v>9.07</v>
      </c>
      <c r="T36" s="90">
        <v>9.14</v>
      </c>
      <c r="U36" s="91">
        <v>9.2100000000000009</v>
      </c>
      <c r="V36" s="90">
        <v>9.27</v>
      </c>
      <c r="W36" s="90">
        <v>9.34</v>
      </c>
      <c r="X36" s="90">
        <v>9.41</v>
      </c>
      <c r="Y36" s="90">
        <v>9.48</v>
      </c>
      <c r="Z36" s="90">
        <v>9.5399999999999991</v>
      </c>
      <c r="AA36" s="90">
        <v>9.61</v>
      </c>
      <c r="AB36" s="90">
        <v>9.68</v>
      </c>
      <c r="AC36" s="90">
        <v>9.75</v>
      </c>
      <c r="AD36" s="90">
        <v>9.81</v>
      </c>
      <c r="AE36" s="90">
        <v>9.8800000000000008</v>
      </c>
      <c r="AF36" s="90">
        <v>9.9499999999999993</v>
      </c>
      <c r="AG36" s="90">
        <v>10.02</v>
      </c>
      <c r="AH36" s="90">
        <v>10.08</v>
      </c>
      <c r="AI36" s="90">
        <v>10.15</v>
      </c>
      <c r="AJ36" s="90">
        <v>10.220000000000001</v>
      </c>
      <c r="AK36" s="90">
        <v>10.29</v>
      </c>
      <c r="AL36" s="90">
        <v>10.35</v>
      </c>
      <c r="AM36" s="90">
        <v>10.42</v>
      </c>
      <c r="AN36" s="90">
        <v>10.49</v>
      </c>
      <c r="AO36" s="91">
        <v>10.56</v>
      </c>
      <c r="AP36" s="90">
        <v>10.6231538461538</v>
      </c>
      <c r="AQ36" s="90">
        <v>10.6905759849906</v>
      </c>
      <c r="AR36" s="90">
        <v>10.757998123827401</v>
      </c>
      <c r="AS36" s="90">
        <v>10.825420262664201</v>
      </c>
      <c r="AT36" s="90">
        <v>10.8928424015009</v>
      </c>
      <c r="AU36" s="90">
        <v>10.9602645403377</v>
      </c>
      <c r="AV36" s="90">
        <v>11.027686679174501</v>
      </c>
      <c r="AW36" s="90">
        <v>11.095108818011299</v>
      </c>
      <c r="AX36" s="90">
        <v>11.162530956848</v>
      </c>
      <c r="AY36" s="90">
        <v>11.229953095684801</v>
      </c>
      <c r="AZ36" s="90">
        <v>11.297375234521599</v>
      </c>
      <c r="BA36" s="90">
        <v>11.3647973733583</v>
      </c>
      <c r="BB36" s="90">
        <v>11.4322195121951</v>
      </c>
      <c r="BC36" s="90">
        <v>11.499641651031901</v>
      </c>
      <c r="BD36" s="90">
        <v>11.567063789868699</v>
      </c>
      <c r="BE36" s="90">
        <v>11.6344859287054</v>
      </c>
      <c r="BF36" s="90">
        <v>11.701908067542201</v>
      </c>
      <c r="BG36" s="90">
        <v>11.769330206378999</v>
      </c>
      <c r="BH36" s="90">
        <v>11.8367523452158</v>
      </c>
      <c r="BI36" s="91">
        <v>11.904174484052501</v>
      </c>
      <c r="BJ36" s="90">
        <v>11.971596622889299</v>
      </c>
      <c r="BK36" s="99">
        <v>12.0390187617261</v>
      </c>
      <c r="BL36" s="99">
        <v>12.1064409005628</v>
      </c>
      <c r="BM36" s="99">
        <v>12.173863039399601</v>
      </c>
      <c r="BN36" s="99">
        <v>12.241285178236399</v>
      </c>
      <c r="BO36" s="99">
        <v>12.3087073170732</v>
      </c>
      <c r="BP36" s="99">
        <v>12.376129455909901</v>
      </c>
      <c r="BQ36" s="99">
        <v>12.443551594746699</v>
      </c>
      <c r="BR36" s="99">
        <v>12.5109737335835</v>
      </c>
      <c r="BS36" s="99">
        <v>12.5783958724203</v>
      </c>
      <c r="BT36" s="99">
        <v>12.645818011256999</v>
      </c>
      <c r="BU36" s="99">
        <v>12.713240150093799</v>
      </c>
      <c r="BV36" s="99">
        <v>12.7806622889306</v>
      </c>
      <c r="BW36" s="99">
        <v>12.8480844277674</v>
      </c>
      <c r="BX36" s="99">
        <v>12.915506566604099</v>
      </c>
      <c r="BY36" s="99">
        <v>12.9829287054409</v>
      </c>
      <c r="BZ36" s="99">
        <v>13.0503508442777</v>
      </c>
      <c r="CA36" s="99">
        <v>13.117772983114399</v>
      </c>
      <c r="CB36" s="99">
        <v>13.1851951219512</v>
      </c>
      <c r="CC36" s="99">
        <v>13.252617260788</v>
      </c>
      <c r="CD36" s="99">
        <v>13.3200393996248</v>
      </c>
      <c r="CE36" s="99">
        <v>13.387461538461499</v>
      </c>
      <c r="CF36" s="99">
        <v>13.4548836772983</v>
      </c>
      <c r="CG36" s="99">
        <v>13.5223058161351</v>
      </c>
      <c r="CH36" s="99">
        <v>13.589727954971901</v>
      </c>
      <c r="CI36" s="99">
        <v>13.6571500938086</v>
      </c>
      <c r="CJ36" s="99">
        <v>13.7245722326454</v>
      </c>
      <c r="CK36" s="99">
        <v>13.7919943714822</v>
      </c>
      <c r="CL36" s="99">
        <v>13.8594165103189</v>
      </c>
      <c r="CM36" s="99">
        <v>13.9268386491557</v>
      </c>
      <c r="CN36" s="99">
        <v>13.9942607879925</v>
      </c>
      <c r="CO36" s="99">
        <v>14.061682926829301</v>
      </c>
      <c r="CP36" s="99">
        <v>14.129105065666</v>
      </c>
      <c r="CQ36" s="99">
        <v>14.1965272045028</v>
      </c>
      <c r="CR36" s="99">
        <v>14.263949343339601</v>
      </c>
      <c r="CS36" s="99">
        <v>14.331371482176399</v>
      </c>
      <c r="CT36" s="99">
        <v>14.3987936210131</v>
      </c>
      <c r="CU36" s="99">
        <v>14.4662157598499</v>
      </c>
      <c r="CV36" s="99">
        <v>14.533637898686701</v>
      </c>
      <c r="CW36" s="99">
        <v>14.6010600375234</v>
      </c>
      <c r="CX36" s="99">
        <v>14.6684821763602</v>
      </c>
      <c r="CY36" s="99">
        <v>14.735904315197001</v>
      </c>
      <c r="CZ36" s="99">
        <v>14.803326454033799</v>
      </c>
      <c r="DA36" s="99">
        <v>14.8707485928705</v>
      </c>
      <c r="DB36" s="99">
        <v>14.9381707317073</v>
      </c>
      <c r="DC36" s="99">
        <v>15.005592870544101</v>
      </c>
      <c r="DD36" s="99">
        <v>15.073015009380899</v>
      </c>
      <c r="DE36" s="99">
        <v>15.1404371482176</v>
      </c>
      <c r="DF36" s="99">
        <v>15.207859287054401</v>
      </c>
      <c r="DG36" s="99">
        <v>15.275281425891199</v>
      </c>
      <c r="DH36" s="99">
        <v>15.342703564728</v>
      </c>
      <c r="DI36" s="99">
        <v>15.410125703564701</v>
      </c>
      <c r="DJ36" s="99">
        <v>15.477547842401499</v>
      </c>
      <c r="DK36" s="99">
        <v>15.5449699812383</v>
      </c>
      <c r="DL36" s="99">
        <v>15.612392120075</v>
      </c>
      <c r="DM36" s="99">
        <v>15.679814258911801</v>
      </c>
      <c r="DN36" s="99">
        <v>15.747236397748599</v>
      </c>
      <c r="DO36" s="99">
        <v>15.8146585365854</v>
      </c>
      <c r="DP36" s="99">
        <v>15.882080675422101</v>
      </c>
      <c r="DQ36" s="99">
        <v>15.949502814258899</v>
      </c>
      <c r="DR36" s="99">
        <v>16.0169249530957</v>
      </c>
      <c r="DS36" s="99">
        <v>16.0843470919325</v>
      </c>
      <c r="DT36" s="99">
        <v>16.151769230769201</v>
      </c>
      <c r="DU36" s="99">
        <v>16.219191369606001</v>
      </c>
      <c r="DV36" s="99">
        <v>16.286613508442802</v>
      </c>
      <c r="DW36" s="99">
        <v>16.354035647279499</v>
      </c>
      <c r="DX36" s="99">
        <v>16.421457786116299</v>
      </c>
      <c r="DY36" s="99">
        <v>16.4888799249531</v>
      </c>
      <c r="DZ36" s="99">
        <v>16.5563020637899</v>
      </c>
      <c r="EA36" s="99">
        <v>16.623724202626601</v>
      </c>
      <c r="EB36" s="99">
        <v>16.691146341463401</v>
      </c>
      <c r="EC36" s="99">
        <v>16.758568480300202</v>
      </c>
      <c r="ED36" s="99">
        <v>16.825990619136999</v>
      </c>
      <c r="EE36" s="99">
        <v>16.893412757973699</v>
      </c>
      <c r="EF36" s="99">
        <v>16.9608348968105</v>
      </c>
      <c r="EG36" s="99">
        <v>17.0282570356473</v>
      </c>
      <c r="EH36" s="99">
        <v>17.095679174484001</v>
      </c>
      <c r="EI36" s="99">
        <v>17.163101313320801</v>
      </c>
      <c r="EJ36" s="99">
        <v>17.230523452157598</v>
      </c>
      <c r="EK36" s="99">
        <v>17.297945590994399</v>
      </c>
      <c r="EL36" s="99">
        <v>17.3653677298311</v>
      </c>
      <c r="EM36" s="99">
        <v>17.4327898686679</v>
      </c>
      <c r="EN36" s="99">
        <v>17.5002120075047</v>
      </c>
      <c r="EO36" s="99">
        <v>17.567634146341501</v>
      </c>
      <c r="EP36" s="99">
        <v>17.635056285178202</v>
      </c>
      <c r="EQ36" s="99">
        <v>17.702478424014998</v>
      </c>
      <c r="ER36" s="99">
        <v>17.769900562851799</v>
      </c>
      <c r="ES36" s="99">
        <v>17.837322701688599</v>
      </c>
      <c r="ET36" s="99">
        <v>17.9047448405253</v>
      </c>
      <c r="EU36" s="99">
        <v>17.9721669793621</v>
      </c>
      <c r="EV36" s="99">
        <v>18.039589118198801</v>
      </c>
      <c r="EW36" s="99">
        <v>18.107011257035602</v>
      </c>
      <c r="EX36" s="99">
        <v>18.174433395872398</v>
      </c>
      <c r="EY36" s="99">
        <v>18.241855534709199</v>
      </c>
      <c r="EZ36" s="99">
        <v>18.3092776735459</v>
      </c>
      <c r="FA36" s="99">
        <v>18.3766998123827</v>
      </c>
      <c r="FB36" s="99">
        <v>18.4441219512195</v>
      </c>
      <c r="FC36" s="99">
        <v>18.511544090056301</v>
      </c>
      <c r="FD36" s="99">
        <v>18.578966228893002</v>
      </c>
      <c r="FE36" s="99">
        <v>18.646388367729799</v>
      </c>
      <c r="FF36" s="99">
        <v>18.713810506566599</v>
      </c>
      <c r="FG36" s="99">
        <v>18.7812326454033</v>
      </c>
      <c r="FH36" s="99">
        <v>18.8486547842401</v>
      </c>
      <c r="FI36" s="99">
        <v>18.916076923076901</v>
      </c>
      <c r="FJ36" s="99">
        <v>18.983499061913701</v>
      </c>
      <c r="FK36" s="99">
        <v>19.050921200750398</v>
      </c>
      <c r="FL36" s="99">
        <v>19.118343339587199</v>
      </c>
      <c r="FM36" s="99">
        <v>19.185765478423999</v>
      </c>
      <c r="FN36" s="99">
        <v>19.253187617260799</v>
      </c>
      <c r="FO36" s="99">
        <v>19.3206097560975</v>
      </c>
      <c r="FP36" s="99">
        <v>19.388031894934301</v>
      </c>
      <c r="FQ36" s="99">
        <v>19.455454033771101</v>
      </c>
      <c r="FR36" s="99">
        <v>19.522876172607798</v>
      </c>
      <c r="FS36" s="99">
        <v>19.590298311444599</v>
      </c>
      <c r="FT36" s="99">
        <v>19.657720450281399</v>
      </c>
      <c r="FU36" s="99">
        <v>19.7251425891182</v>
      </c>
      <c r="FV36" s="99">
        <v>19.7925647279549</v>
      </c>
      <c r="FW36" s="99">
        <v>19.859986866791701</v>
      </c>
      <c r="FX36" s="99">
        <v>19.927409005628501</v>
      </c>
      <c r="FY36" s="99">
        <v>19.994831144465302</v>
      </c>
      <c r="FZ36" s="99">
        <v>20.062253283301999</v>
      </c>
      <c r="GA36" s="99">
        <v>20.129675422138799</v>
      </c>
      <c r="GB36" s="99">
        <v>20.1970975609756</v>
      </c>
      <c r="GC36" s="99">
        <v>20.2645196998124</v>
      </c>
      <c r="GD36" s="99">
        <v>20.331941838649101</v>
      </c>
      <c r="GE36" s="99">
        <v>20.399363977485901</v>
      </c>
      <c r="GF36" s="99">
        <v>20.466786116322702</v>
      </c>
      <c r="GG36" s="99">
        <v>20.534208255159399</v>
      </c>
      <c r="GH36" s="99">
        <v>20.601630393996199</v>
      </c>
      <c r="GI36" s="99">
        <v>20.669052532833</v>
      </c>
      <c r="GJ36" s="99">
        <v>20.7364746716698</v>
      </c>
      <c r="GK36" s="99">
        <v>20.803896810506501</v>
      </c>
      <c r="GL36" s="99">
        <v>20.871318949343301</v>
      </c>
      <c r="GM36" s="99">
        <v>20.938741088180102</v>
      </c>
      <c r="GN36" s="99">
        <v>21.006163227016899</v>
      </c>
      <c r="GO36" s="99">
        <v>21.073585365853599</v>
      </c>
      <c r="GP36" s="99">
        <v>21.1410075046904</v>
      </c>
      <c r="GQ36" s="99">
        <v>21.2084296435272</v>
      </c>
      <c r="GR36" s="99">
        <v>21.275851782363901</v>
      </c>
      <c r="GS36" s="99">
        <v>21.343273921200701</v>
      </c>
      <c r="GT36" s="99">
        <v>21.410696060037498</v>
      </c>
      <c r="GU36" s="99">
        <v>21.478118198874299</v>
      </c>
      <c r="GV36" s="99">
        <v>21.545540337711</v>
      </c>
      <c r="GW36" s="99">
        <v>21.6129624765478</v>
      </c>
      <c r="GX36" s="99">
        <v>21.6803846153846</v>
      </c>
      <c r="GY36" s="99">
        <v>21.747806754221401</v>
      </c>
      <c r="GZ36" s="99">
        <v>21.815228893058102</v>
      </c>
      <c r="HA36" s="99">
        <v>21.882651031894898</v>
      </c>
      <c r="HB36" s="99">
        <v>21.950073170731699</v>
      </c>
      <c r="HC36" s="99">
        <v>22.0174953095684</v>
      </c>
      <c r="HD36" s="99">
        <v>22.0849174484052</v>
      </c>
      <c r="HE36" s="99">
        <v>22.152339587242</v>
      </c>
      <c r="HF36" s="99">
        <v>22.219761726078801</v>
      </c>
      <c r="HG36" s="99">
        <v>22.287183864915502</v>
      </c>
      <c r="HH36" s="99">
        <v>22.354606003752298</v>
      </c>
      <c r="HI36" s="99">
        <v>22.422028142589099</v>
      </c>
      <c r="HJ36" s="99">
        <v>22.489450281425899</v>
      </c>
      <c r="HK36" s="99">
        <v>22.5568724202626</v>
      </c>
      <c r="HL36" s="99">
        <v>22.6242945590994</v>
      </c>
      <c r="HM36" s="99">
        <v>22.691716697936201</v>
      </c>
      <c r="HN36" s="99">
        <v>22.759138836773001</v>
      </c>
      <c r="HO36" s="99">
        <v>22.826560975609699</v>
      </c>
      <c r="HP36" s="99">
        <v>22.893983114446499</v>
      </c>
      <c r="HQ36" s="99">
        <v>22.961405253283299</v>
      </c>
      <c r="HR36" s="99">
        <v>23.02882739212</v>
      </c>
      <c r="HS36" s="99">
        <v>23.096249530956801</v>
      </c>
      <c r="HT36" s="99">
        <v>23.163671669793601</v>
      </c>
      <c r="HU36" s="99">
        <v>23.231093808630401</v>
      </c>
      <c r="HV36" s="99">
        <v>23.298515947467099</v>
      </c>
      <c r="HW36" s="99">
        <v>23.365938086303899</v>
      </c>
      <c r="HX36" s="99">
        <v>23.433360225140699</v>
      </c>
      <c r="HY36" s="99">
        <v>23.5007823639775</v>
      </c>
      <c r="HZ36" s="99">
        <v>23.568204502814201</v>
      </c>
      <c r="IA36" s="99">
        <v>23.635626641651001</v>
      </c>
      <c r="IB36" s="99">
        <v>23.703048780487801</v>
      </c>
      <c r="IC36" s="99">
        <v>23.770470919324499</v>
      </c>
      <c r="ID36" s="99">
        <v>23.837893058161299</v>
      </c>
      <c r="IE36" s="99">
        <v>23.905315196998099</v>
      </c>
      <c r="IF36" s="99">
        <v>23.9727373358349</v>
      </c>
      <c r="IG36" s="99">
        <v>24.040159474671601</v>
      </c>
      <c r="IH36" s="99">
        <v>24.107581613508401</v>
      </c>
      <c r="II36" s="99">
        <v>24.175003752345201</v>
      </c>
      <c r="IJ36" s="99">
        <v>24.242425891181998</v>
      </c>
      <c r="IK36" s="99">
        <v>24.309848030018699</v>
      </c>
      <c r="IL36" s="99">
        <v>24.3772701688555</v>
      </c>
      <c r="IM36" s="99">
        <v>24.4446923076923</v>
      </c>
      <c r="IN36" s="99">
        <v>24.512114446529001</v>
      </c>
      <c r="IO36" s="99">
        <v>24.579536585365801</v>
      </c>
      <c r="IP36" s="99">
        <v>24.646958724202602</v>
      </c>
      <c r="IQ36" s="99">
        <v>24.714380863039398</v>
      </c>
      <c r="IR36" s="99">
        <v>24.781803001876099</v>
      </c>
      <c r="IS36" s="99">
        <v>24.8492251407129</v>
      </c>
      <c r="IT36" s="99">
        <v>24.9166472795497</v>
      </c>
      <c r="IU36" s="99">
        <v>24.9840694183865</v>
      </c>
      <c r="IV36" s="99">
        <v>25.051491557223201</v>
      </c>
      <c r="IW36" s="99">
        <v>25.118913696060002</v>
      </c>
      <c r="IX36" s="99">
        <v>25.186335834896799</v>
      </c>
      <c r="IY36" s="99">
        <v>25.253757973733599</v>
      </c>
      <c r="IZ36" s="99">
        <v>25.3211801125703</v>
      </c>
      <c r="JA36" s="99">
        <v>25.3886022514071</v>
      </c>
      <c r="JB36" s="99">
        <v>25.456024390243901</v>
      </c>
      <c r="JC36" s="99">
        <v>25.523446529080601</v>
      </c>
      <c r="JD36" s="99">
        <v>25.590868667917398</v>
      </c>
      <c r="JE36" s="99">
        <v>25.658290806754199</v>
      </c>
      <c r="JF36" s="99">
        <v>25.725712945590999</v>
      </c>
      <c r="JG36" s="99">
        <v>25.7931350844277</v>
      </c>
      <c r="JH36" s="99">
        <v>25.8605572232645</v>
      </c>
      <c r="JI36" s="99">
        <v>25.927979362101301</v>
      </c>
      <c r="JJ36" s="99">
        <v>25.995401500938101</v>
      </c>
      <c r="JK36" s="99">
        <v>26.062823639774798</v>
      </c>
      <c r="JL36" s="99">
        <v>26.130245778611599</v>
      </c>
      <c r="JM36" s="99">
        <v>26.197667917448399</v>
      </c>
      <c r="JN36" s="99">
        <v>26.2650900562851</v>
      </c>
      <c r="JO36" s="99">
        <v>26.3325121951219</v>
      </c>
      <c r="JP36" s="99">
        <v>26.399934333958701</v>
      </c>
      <c r="JQ36" s="99">
        <v>26.467356472795501</v>
      </c>
      <c r="JR36" s="99">
        <v>26.534778611632198</v>
      </c>
      <c r="JS36" s="99">
        <v>26.602200750468999</v>
      </c>
      <c r="JT36" s="99">
        <v>26.669622889305799</v>
      </c>
      <c r="JU36" s="99">
        <v>26.7370450281426</v>
      </c>
      <c r="JV36" s="99">
        <v>26.8044671669793</v>
      </c>
      <c r="JW36" s="99">
        <v>26.871889305816101</v>
      </c>
      <c r="JX36" s="99">
        <v>26.939311444652901</v>
      </c>
      <c r="JY36" s="99">
        <v>27.006733583489599</v>
      </c>
      <c r="JZ36" s="99">
        <v>27.074155722326399</v>
      </c>
      <c r="KA36" s="99">
        <v>27.141577861163199</v>
      </c>
      <c r="KB36" s="99">
        <v>27.209</v>
      </c>
      <c r="KC36" s="99">
        <v>27.276422138836701</v>
      </c>
      <c r="KD36" s="99">
        <v>27.343844277673501</v>
      </c>
      <c r="KE36" s="99">
        <v>27.411266416510301</v>
      </c>
      <c r="KF36" s="99">
        <v>27.478688555347102</v>
      </c>
      <c r="KG36" s="99">
        <v>27.546110694183799</v>
      </c>
      <c r="KH36" s="99">
        <v>27.613532833020599</v>
      </c>
      <c r="KI36" s="99">
        <v>27.6809549718574</v>
      </c>
      <c r="KJ36" s="99">
        <v>27.7483771106942</v>
      </c>
      <c r="KK36" s="99">
        <v>27.815799249530901</v>
      </c>
      <c r="KL36" s="99">
        <v>27.883221388367701</v>
      </c>
      <c r="KM36" s="99">
        <v>27.950643527204502</v>
      </c>
      <c r="KN36" s="99">
        <v>28.018065666041199</v>
      </c>
      <c r="KO36" s="99">
        <v>28.085487804877999</v>
      </c>
      <c r="KP36" s="99">
        <v>28.1529099437148</v>
      </c>
      <c r="KQ36" s="99">
        <v>28.2203320825516</v>
      </c>
      <c r="KR36" s="99">
        <v>28.287754221388301</v>
      </c>
      <c r="KS36" s="99">
        <v>28.355176360225101</v>
      </c>
      <c r="KT36" s="99">
        <v>28.422598499061898</v>
      </c>
      <c r="KU36" s="99">
        <v>28.490020637898699</v>
      </c>
      <c r="KV36" s="99">
        <v>28.5574427767354</v>
      </c>
      <c r="KW36" s="99">
        <v>28.6248649155722</v>
      </c>
      <c r="KX36" s="99">
        <v>28.692287054409</v>
      </c>
      <c r="KY36" s="99">
        <v>28.759709193245701</v>
      </c>
      <c r="KZ36" s="99">
        <v>28.827131332082502</v>
      </c>
      <c r="LA36" s="99">
        <v>28.894553470919298</v>
      </c>
      <c r="LB36" s="99">
        <v>28.961975609756099</v>
      </c>
      <c r="LC36" s="99">
        <v>29.0293977485928</v>
      </c>
      <c r="LD36" s="99">
        <v>29.0968198874296</v>
      </c>
      <c r="LE36" s="99">
        <v>29.1642420262664</v>
      </c>
      <c r="LF36" s="99">
        <v>29.231664165103201</v>
      </c>
      <c r="LG36" s="99">
        <v>29.299086303939902</v>
      </c>
      <c r="LH36" s="99">
        <v>29.366508442776698</v>
      </c>
      <c r="LI36" s="99">
        <v>29.433930581613499</v>
      </c>
      <c r="LJ36" s="99">
        <v>29.5013527204502</v>
      </c>
      <c r="LK36" s="99">
        <v>29.568774859287</v>
      </c>
      <c r="LL36" s="99">
        <v>29.6361969981238</v>
      </c>
      <c r="LM36" s="99">
        <v>29.703619136960601</v>
      </c>
      <c r="LN36" s="99">
        <v>29.771041275797302</v>
      </c>
      <c r="LO36" s="99">
        <v>29.838463414634099</v>
      </c>
      <c r="LP36" s="99">
        <v>29.905885553470899</v>
      </c>
      <c r="LQ36" s="99">
        <v>29.973307692307699</v>
      </c>
      <c r="LR36" s="99">
        <v>30.0407298311444</v>
      </c>
      <c r="LS36" s="99">
        <v>30.108151969981201</v>
      </c>
      <c r="LT36" s="99">
        <v>30.175574108818001</v>
      </c>
      <c r="LU36" s="99">
        <v>30.242996247654698</v>
      </c>
      <c r="LV36" s="99">
        <v>30.310418386491499</v>
      </c>
      <c r="LW36" s="99">
        <v>30.377840525328299</v>
      </c>
      <c r="LX36" s="99">
        <v>30.445262664165099</v>
      </c>
      <c r="LY36" s="99">
        <v>30.5126848030018</v>
      </c>
      <c r="LZ36" s="99">
        <v>30.580106941838601</v>
      </c>
      <c r="MA36" s="99">
        <v>30.647529080675401</v>
      </c>
      <c r="MB36" s="99">
        <v>30.714951219512201</v>
      </c>
      <c r="MC36" s="99">
        <v>30.782373358348899</v>
      </c>
      <c r="MD36" s="99">
        <v>30.849795497185699</v>
      </c>
      <c r="ME36" s="99">
        <v>30.9172176360225</v>
      </c>
      <c r="MF36" s="99">
        <v>30.9846397748593</v>
      </c>
      <c r="MG36" s="99">
        <v>31.052061913696001</v>
      </c>
      <c r="MH36" s="99">
        <v>31.119484052532801</v>
      </c>
      <c r="MI36" s="99">
        <v>31.186906191369602</v>
      </c>
      <c r="MJ36" s="99">
        <v>31.254328330206299</v>
      </c>
      <c r="MK36" s="99">
        <v>31.321750469043099</v>
      </c>
      <c r="ML36" s="99">
        <v>31.3891726078799</v>
      </c>
      <c r="MM36" s="99">
        <v>31.4565947467167</v>
      </c>
      <c r="MN36" s="99">
        <v>31.524016885553401</v>
      </c>
      <c r="MO36" s="99">
        <v>31.591439024390201</v>
      </c>
      <c r="MP36" s="99">
        <v>31.658861163227002</v>
      </c>
      <c r="MQ36" s="99">
        <v>31.726283302063798</v>
      </c>
      <c r="MR36" s="99">
        <v>31.793705440900499</v>
      </c>
      <c r="MS36" s="99">
        <v>31.8611275797373</v>
      </c>
      <c r="MT36" s="99">
        <v>31.9285497185741</v>
      </c>
      <c r="MU36" s="99">
        <v>31.995971857410801</v>
      </c>
      <c r="MV36" s="99">
        <v>32.063393996247598</v>
      </c>
      <c r="MW36" s="99">
        <v>32.130816135084402</v>
      </c>
      <c r="MX36" s="99">
        <v>32.198238273921199</v>
      </c>
      <c r="MY36" s="99">
        <v>32.265660412757903</v>
      </c>
      <c r="MZ36" s="99">
        <v>32.3330825515947</v>
      </c>
      <c r="NA36" s="99">
        <v>32.400504690431497</v>
      </c>
      <c r="NB36" s="99">
        <v>32.467926829268301</v>
      </c>
      <c r="NC36" s="99">
        <v>32.535348968104998</v>
      </c>
      <c r="ND36" s="99">
        <v>32.602771106941802</v>
      </c>
      <c r="NE36" s="99">
        <v>32.670193245778599</v>
      </c>
      <c r="NF36" s="99">
        <v>32.737615384615403</v>
      </c>
      <c r="NG36" s="99">
        <v>32.8050375234521</v>
      </c>
      <c r="NH36" s="99">
        <v>32.872459662288897</v>
      </c>
      <c r="NI36" s="99">
        <v>32.939881801125701</v>
      </c>
      <c r="NJ36" s="99">
        <v>33.007303939962398</v>
      </c>
      <c r="NK36" s="99">
        <v>33.074726078799202</v>
      </c>
      <c r="NL36" s="99">
        <v>33.142148217635999</v>
      </c>
      <c r="NM36" s="99">
        <v>33.209570356472803</v>
      </c>
      <c r="NN36" s="99">
        <v>33.2769924953095</v>
      </c>
      <c r="NO36" s="99">
        <v>33.344414634146297</v>
      </c>
      <c r="NP36" s="99">
        <v>33.411836772983101</v>
      </c>
      <c r="NQ36" s="99">
        <v>33.479258911819898</v>
      </c>
      <c r="NR36" s="99">
        <v>33.546681050656602</v>
      </c>
      <c r="NS36" s="99">
        <v>33.614103189493399</v>
      </c>
      <c r="NT36" s="99">
        <v>33.681525328330203</v>
      </c>
      <c r="NU36" s="99">
        <v>33.7489474671669</v>
      </c>
      <c r="NV36" s="99">
        <v>33.816369606003697</v>
      </c>
      <c r="NW36" s="99">
        <v>33.883791744840501</v>
      </c>
      <c r="NX36" s="99">
        <v>33.951213883677298</v>
      </c>
      <c r="NY36" s="99">
        <v>34.018636022514002</v>
      </c>
      <c r="NZ36" s="99">
        <v>34.086058161350799</v>
      </c>
      <c r="OA36" s="99">
        <v>34.153480300187603</v>
      </c>
      <c r="OB36" s="99">
        <v>34.2209024390244</v>
      </c>
      <c r="OC36" s="99">
        <v>34.288324577861097</v>
      </c>
      <c r="OD36" s="99">
        <v>34.355746716697901</v>
      </c>
      <c r="OE36" s="99">
        <v>34.423168855534698</v>
      </c>
      <c r="OF36" s="99">
        <v>34.490590994371402</v>
      </c>
      <c r="OG36" s="99">
        <v>34.558013133208199</v>
      </c>
      <c r="OH36" s="99">
        <v>34.625435272045003</v>
      </c>
      <c r="OI36" s="99">
        <v>34.6928574108818</v>
      </c>
      <c r="OJ36" s="99">
        <v>34.760279549718497</v>
      </c>
      <c r="OK36" s="99">
        <v>34.827701688555301</v>
      </c>
      <c r="OL36" s="99">
        <v>34.895123827392098</v>
      </c>
      <c r="OM36" s="99">
        <v>34.962545966228902</v>
      </c>
      <c r="ON36" s="99">
        <v>35.029968105065599</v>
      </c>
      <c r="OO36" s="99">
        <v>35.097390243902403</v>
      </c>
      <c r="OP36" s="99">
        <v>35.1648123827392</v>
      </c>
      <c r="OQ36" s="99">
        <v>35.232234521575897</v>
      </c>
      <c r="OR36" s="99">
        <v>35.299656660412701</v>
      </c>
      <c r="OS36" s="99">
        <v>35.367078799249498</v>
      </c>
      <c r="OT36" s="99">
        <v>35.434500938086302</v>
      </c>
      <c r="OU36" s="99">
        <v>35.501923076922999</v>
      </c>
      <c r="OV36" s="99">
        <v>35.569345215759803</v>
      </c>
      <c r="OW36" s="99">
        <v>35.6367673545966</v>
      </c>
      <c r="OX36" s="99">
        <v>35.704189493433397</v>
      </c>
      <c r="OY36" s="99">
        <v>35.771611632270101</v>
      </c>
      <c r="OZ36" s="99">
        <v>35.839033771106898</v>
      </c>
      <c r="PA36" s="99">
        <v>35.906455909943702</v>
      </c>
      <c r="PB36" s="99">
        <v>35.973878048780499</v>
      </c>
      <c r="PC36" s="99">
        <v>36.041300187617203</v>
      </c>
      <c r="PD36" s="99">
        <v>36.108722326454</v>
      </c>
      <c r="PE36" s="99">
        <v>36.176144465290797</v>
      </c>
      <c r="PF36" s="99">
        <v>36.243566604127501</v>
      </c>
      <c r="PG36" s="99">
        <v>36.310988742964298</v>
      </c>
      <c r="PH36" s="99">
        <v>36.378410881801102</v>
      </c>
      <c r="PI36" s="99">
        <v>36.445833020637899</v>
      </c>
      <c r="PJ36" s="99">
        <v>36.513255159474603</v>
      </c>
      <c r="PK36" s="99">
        <v>36.5806772983114</v>
      </c>
      <c r="PL36" s="99">
        <v>36.648099437148197</v>
      </c>
      <c r="PM36" s="99">
        <v>36.715521575985001</v>
      </c>
      <c r="PN36" s="99">
        <v>36.782943714821698</v>
      </c>
      <c r="PO36" s="99">
        <v>36.850365853658502</v>
      </c>
      <c r="PP36" s="99">
        <v>36.917787992495299</v>
      </c>
      <c r="PQ36" s="99">
        <v>36.985210131332003</v>
      </c>
      <c r="PR36" s="99">
        <v>37.0526322701688</v>
      </c>
      <c r="PS36" s="99">
        <v>37.120054409005597</v>
      </c>
      <c r="PT36" s="99">
        <v>37.187476547842401</v>
      </c>
      <c r="PU36" s="99">
        <v>37.254898686679098</v>
      </c>
      <c r="PV36" s="99">
        <v>37.322320825515902</v>
      </c>
      <c r="PW36" s="99">
        <v>37.389742964352699</v>
      </c>
      <c r="PX36" s="99">
        <v>37.457165103189503</v>
      </c>
      <c r="PY36" s="99">
        <v>37.5245872420262</v>
      </c>
      <c r="PZ36" s="99">
        <v>37.592009380862997</v>
      </c>
      <c r="QA36" s="99">
        <v>37.659431519699801</v>
      </c>
      <c r="QB36" s="99">
        <v>37.726853658536498</v>
      </c>
      <c r="QC36" s="99">
        <v>37.794275797373302</v>
      </c>
      <c r="QD36" s="99">
        <v>37.861697936210099</v>
      </c>
      <c r="QE36" s="99">
        <v>37.929120075046903</v>
      </c>
      <c r="QF36" s="99">
        <v>37.9965422138836</v>
      </c>
      <c r="QG36" s="99">
        <v>38.063964352720397</v>
      </c>
      <c r="QH36" s="99">
        <v>38.131386491557201</v>
      </c>
      <c r="QI36" s="99">
        <v>38.198808630393998</v>
      </c>
      <c r="QJ36" s="99">
        <v>38.266230769230702</v>
      </c>
      <c r="QK36" s="99">
        <v>38.333652908067499</v>
      </c>
      <c r="QL36" s="99">
        <v>38.401075046904303</v>
      </c>
      <c r="QM36" s="99">
        <v>38.4684971857411</v>
      </c>
      <c r="QN36" s="99">
        <v>38.535919324577797</v>
      </c>
      <c r="QO36" s="99">
        <v>38.603341463414601</v>
      </c>
      <c r="QP36" s="99">
        <v>38.670763602251398</v>
      </c>
      <c r="QQ36" s="99">
        <v>38.738185741088103</v>
      </c>
      <c r="QR36" s="99">
        <v>38.805607879924899</v>
      </c>
      <c r="QS36" s="99">
        <v>38.873030018761703</v>
      </c>
      <c r="QT36" s="99">
        <v>38.9404521575985</v>
      </c>
      <c r="QU36" s="99">
        <v>39.007874296435197</v>
      </c>
      <c r="QV36" s="99">
        <v>39.075296435272001</v>
      </c>
      <c r="QW36" s="99">
        <v>39.142718574108798</v>
      </c>
      <c r="QX36" s="99">
        <v>39.210140712945602</v>
      </c>
      <c r="QY36" s="99">
        <v>39.277562851782299</v>
      </c>
      <c r="QZ36" s="99">
        <v>39.344984990619103</v>
      </c>
      <c r="RA36" s="99">
        <v>39.4124071294559</v>
      </c>
      <c r="RB36" s="99">
        <v>39.479829268292598</v>
      </c>
      <c r="RC36" s="99">
        <v>39.547251407129401</v>
      </c>
      <c r="RD36" s="99">
        <v>39.614673545966198</v>
      </c>
      <c r="RE36" s="99">
        <v>39.682095684803002</v>
      </c>
      <c r="RF36" s="99">
        <v>39.7495178236397</v>
      </c>
      <c r="RG36" s="99">
        <v>39.816939962476503</v>
      </c>
      <c r="RH36" s="99">
        <v>39.8843621013133</v>
      </c>
      <c r="RI36" s="99">
        <v>39.951784240150097</v>
      </c>
      <c r="RJ36" s="99">
        <v>40.019206378986802</v>
      </c>
      <c r="RK36" s="99">
        <v>40.086628517823598</v>
      </c>
      <c r="RL36" s="99">
        <v>40.154050656660402</v>
      </c>
      <c r="RM36" s="99">
        <v>40.221472795497199</v>
      </c>
      <c r="RN36" s="99">
        <v>40.288894934333896</v>
      </c>
      <c r="RO36" s="99">
        <v>40.3563170731707</v>
      </c>
      <c r="RP36" s="99">
        <v>40.423739212007497</v>
      </c>
      <c r="RQ36" s="99">
        <v>40.491161350844202</v>
      </c>
      <c r="RR36" s="99">
        <v>40.558583489680998</v>
      </c>
      <c r="RS36" s="99">
        <v>40.626005628517802</v>
      </c>
      <c r="RT36" s="99">
        <v>40.693427767354599</v>
      </c>
      <c r="RU36" s="99">
        <v>40.760849906191297</v>
      </c>
      <c r="RV36" s="99">
        <v>40.8282720450281</v>
      </c>
      <c r="RW36" s="99">
        <v>40.895694183864897</v>
      </c>
      <c r="RX36" s="99">
        <v>40.963116322701701</v>
      </c>
      <c r="RY36" s="99">
        <v>41.030538461538399</v>
      </c>
      <c r="RZ36" s="99">
        <v>41.097960600375202</v>
      </c>
      <c r="SA36" s="99">
        <v>41.165382739211999</v>
      </c>
      <c r="SB36" s="99">
        <v>41.232804878048697</v>
      </c>
      <c r="SC36" s="99">
        <v>41.300227016885501</v>
      </c>
      <c r="SD36" s="99">
        <v>41.367649155722297</v>
      </c>
      <c r="SE36" s="99">
        <v>41.435071294559101</v>
      </c>
      <c r="SF36" s="99">
        <v>41.502493433395799</v>
      </c>
      <c r="SG36" s="99">
        <v>41.569915572232603</v>
      </c>
      <c r="SH36" s="99">
        <v>41.637337711069399</v>
      </c>
      <c r="SI36" s="99">
        <v>41.704759849906203</v>
      </c>
      <c r="SJ36" s="99">
        <v>41.772181988742901</v>
      </c>
      <c r="SK36" s="99">
        <v>41.839604127579697</v>
      </c>
      <c r="SL36" s="99">
        <v>41.907026266416501</v>
      </c>
      <c r="SM36" s="99">
        <v>41.974448405253199</v>
      </c>
      <c r="SN36" s="99">
        <v>42.041870544090003</v>
      </c>
      <c r="SO36" s="99">
        <v>42.1092926829268</v>
      </c>
      <c r="SP36" s="99">
        <v>42.176714821763603</v>
      </c>
      <c r="SQ36" s="99">
        <v>42.244136960600301</v>
      </c>
      <c r="SR36" s="99">
        <v>42.311559099437098</v>
      </c>
      <c r="SS36" s="99">
        <v>42.378981238273902</v>
      </c>
      <c r="ST36" s="99">
        <v>42.446403377110698</v>
      </c>
      <c r="SU36" s="99">
        <v>42.513825515947403</v>
      </c>
      <c r="SV36" s="99">
        <v>42.5812476547842</v>
      </c>
      <c r="SW36" s="99">
        <v>42.648669793621004</v>
      </c>
      <c r="SX36" s="99">
        <v>42.7160919324578</v>
      </c>
      <c r="SY36" s="99">
        <v>42.783514071294498</v>
      </c>
      <c r="SZ36" s="99">
        <v>42.850936210131302</v>
      </c>
      <c r="TA36" s="99">
        <v>42.918358348968098</v>
      </c>
      <c r="TB36" s="99">
        <v>42.985780487804803</v>
      </c>
      <c r="TC36" s="99">
        <v>43.0532026266416</v>
      </c>
      <c r="TD36" s="99">
        <v>43.120624765478397</v>
      </c>
      <c r="TE36" s="99">
        <v>43.1880469043152</v>
      </c>
      <c r="TF36" s="99">
        <v>43.255469043151898</v>
      </c>
      <c r="TG36" s="99">
        <v>43.322891181988702</v>
      </c>
      <c r="TH36" s="99">
        <v>43.390313320825499</v>
      </c>
      <c r="TI36" s="99">
        <v>43.457735459662302</v>
      </c>
      <c r="TJ36" s="99">
        <v>43.525157598499</v>
      </c>
      <c r="TK36" s="99">
        <v>43.592579737335797</v>
      </c>
      <c r="TL36" s="99">
        <v>43.660001876172601</v>
      </c>
      <c r="TM36" s="99">
        <v>43.727424015009298</v>
      </c>
      <c r="TN36" s="99">
        <v>43.794846153846102</v>
      </c>
      <c r="TO36" s="99">
        <v>43.862268292682899</v>
      </c>
      <c r="TP36" s="99">
        <v>43.929690431519703</v>
      </c>
      <c r="TQ36" s="99">
        <v>43.9971125703564</v>
      </c>
      <c r="TR36" s="99">
        <v>44.064534709193197</v>
      </c>
      <c r="TS36" s="99">
        <v>44.131956848030001</v>
      </c>
      <c r="TT36" s="99">
        <v>44.199378986866797</v>
      </c>
      <c r="TU36" s="99">
        <v>44.266801125703502</v>
      </c>
      <c r="TV36" s="99">
        <v>44.334223264540299</v>
      </c>
      <c r="TW36" s="99">
        <v>44.401645403377103</v>
      </c>
      <c r="TX36" s="99">
        <v>44.4690675422138</v>
      </c>
      <c r="TY36" s="99">
        <v>44.536489681050597</v>
      </c>
      <c r="TZ36" s="99">
        <v>44.603911819887401</v>
      </c>
      <c r="UA36" s="99">
        <v>44.671333958724198</v>
      </c>
      <c r="UB36" s="99">
        <v>44.738756097560902</v>
      </c>
      <c r="UC36" s="99">
        <v>44.806178236397699</v>
      </c>
      <c r="UD36" s="99">
        <v>44.873600375234503</v>
      </c>
      <c r="UE36" s="99">
        <v>44.9410225140713</v>
      </c>
      <c r="UF36" s="99">
        <v>45.008444652907997</v>
      </c>
      <c r="UG36" s="99">
        <v>45.075866791744801</v>
      </c>
      <c r="UH36" s="99">
        <v>45.143288930581598</v>
      </c>
      <c r="UI36" s="99">
        <v>45.210711069418302</v>
      </c>
      <c r="UJ36" s="99">
        <v>45.278133208255099</v>
      </c>
      <c r="UK36" s="99">
        <v>45.345555347091903</v>
      </c>
      <c r="UL36" s="99">
        <v>45.4129774859287</v>
      </c>
      <c r="UM36" s="99">
        <v>45.480399624765397</v>
      </c>
      <c r="UN36" s="99">
        <v>45.547821763602201</v>
      </c>
      <c r="UO36" s="99">
        <v>45.615243902438998</v>
      </c>
      <c r="UP36" s="99">
        <v>45.682666041275802</v>
      </c>
      <c r="UQ36" s="99">
        <v>45.750088180112499</v>
      </c>
      <c r="UR36" s="99">
        <v>45.817510318949303</v>
      </c>
      <c r="US36" s="99">
        <v>45.884932457786</v>
      </c>
      <c r="UT36" s="99">
        <v>45.952354596622797</v>
      </c>
    </row>
    <row r="37" spans="1:566" x14ac:dyDescent="0.2">
      <c r="A37" s="89">
        <v>15.5</v>
      </c>
      <c r="B37" s="90">
        <v>7.84</v>
      </c>
      <c r="C37" s="90">
        <v>7.91</v>
      </c>
      <c r="D37" s="90">
        <v>7.97</v>
      </c>
      <c r="E37" s="90">
        <v>8.0399999999999991</v>
      </c>
      <c r="F37" s="90">
        <v>8.11</v>
      </c>
      <c r="G37" s="90">
        <v>8.17</v>
      </c>
      <c r="H37" s="90">
        <v>8.24</v>
      </c>
      <c r="I37" s="90">
        <v>8.31</v>
      </c>
      <c r="J37" s="90">
        <v>8.3699999999999992</v>
      </c>
      <c r="K37" s="90">
        <v>8.44</v>
      </c>
      <c r="L37" s="90">
        <v>8.51</v>
      </c>
      <c r="M37" s="90">
        <v>8.57</v>
      </c>
      <c r="N37" s="90">
        <v>8.64</v>
      </c>
      <c r="O37" s="90">
        <v>8.7100000000000009</v>
      </c>
      <c r="P37" s="90">
        <v>8.77</v>
      </c>
      <c r="Q37" s="90">
        <v>8.84</v>
      </c>
      <c r="R37" s="90">
        <v>8.91</v>
      </c>
      <c r="S37" s="90">
        <v>8.9700000000000006</v>
      </c>
      <c r="T37" s="90">
        <v>9.0399999999999991</v>
      </c>
      <c r="U37" s="91">
        <v>9.11</v>
      </c>
      <c r="V37" s="90">
        <v>9.18</v>
      </c>
      <c r="W37" s="90">
        <v>9.24</v>
      </c>
      <c r="X37" s="90">
        <v>9.31</v>
      </c>
      <c r="Y37" s="90">
        <v>9.3800000000000008</v>
      </c>
      <c r="Z37" s="90">
        <v>9.44</v>
      </c>
      <c r="AA37" s="90">
        <v>9.51</v>
      </c>
      <c r="AB37" s="90">
        <v>9.58</v>
      </c>
      <c r="AC37" s="90">
        <v>9.64</v>
      </c>
      <c r="AD37" s="90">
        <v>9.7100000000000009</v>
      </c>
      <c r="AE37" s="90">
        <v>9.7799999999999994</v>
      </c>
      <c r="AF37" s="90">
        <v>9.84</v>
      </c>
      <c r="AG37" s="90">
        <v>9.91</v>
      </c>
      <c r="AH37" s="90">
        <v>9.98</v>
      </c>
      <c r="AI37" s="90">
        <v>10.039999999999999</v>
      </c>
      <c r="AJ37" s="90">
        <v>10.11</v>
      </c>
      <c r="AK37" s="90">
        <v>10.18</v>
      </c>
      <c r="AL37" s="90">
        <v>10.24</v>
      </c>
      <c r="AM37" s="90">
        <v>10.31</v>
      </c>
      <c r="AN37" s="90">
        <v>10.38</v>
      </c>
      <c r="AO37" s="91">
        <v>10.44</v>
      </c>
      <c r="AP37" s="90">
        <v>10.510807692307701</v>
      </c>
      <c r="AQ37" s="90">
        <v>10.5775909943715</v>
      </c>
      <c r="AR37" s="90">
        <v>10.6443742964353</v>
      </c>
      <c r="AS37" s="90">
        <v>10.711157598499099</v>
      </c>
      <c r="AT37" s="90">
        <v>10.7779409005629</v>
      </c>
      <c r="AU37" s="90">
        <v>10.844724202626599</v>
      </c>
      <c r="AV37" s="90">
        <v>10.9115075046904</v>
      </c>
      <c r="AW37" s="90">
        <v>10.978290806754201</v>
      </c>
      <c r="AX37" s="90">
        <v>11.045074108818</v>
      </c>
      <c r="AY37" s="90">
        <v>11.1118574108818</v>
      </c>
      <c r="AZ37" s="90">
        <v>11.178640712945599</v>
      </c>
      <c r="BA37" s="90">
        <v>11.2454240150094</v>
      </c>
      <c r="BB37" s="90">
        <v>11.3122073170732</v>
      </c>
      <c r="BC37" s="90">
        <v>11.378990619136999</v>
      </c>
      <c r="BD37" s="90">
        <v>11.445773921200701</v>
      </c>
      <c r="BE37" s="90">
        <v>11.512557223264499</v>
      </c>
      <c r="BF37" s="90">
        <v>11.5793405253283</v>
      </c>
      <c r="BG37" s="90">
        <v>11.646123827392101</v>
      </c>
      <c r="BH37" s="90">
        <v>11.7129071294559</v>
      </c>
      <c r="BI37" s="91">
        <v>11.7796904315197</v>
      </c>
      <c r="BJ37" s="90">
        <v>11.846473733583499</v>
      </c>
      <c r="BK37" s="99">
        <v>11.9132570356473</v>
      </c>
      <c r="BL37" s="99">
        <v>11.980040337711101</v>
      </c>
      <c r="BM37" s="99">
        <v>12.0468236397749</v>
      </c>
      <c r="BN37" s="99">
        <v>12.113606941838601</v>
      </c>
      <c r="BO37" s="99">
        <v>12.1803902439024</v>
      </c>
      <c r="BP37" s="99">
        <v>12.2471735459662</v>
      </c>
      <c r="BQ37" s="99">
        <v>12.313956848029999</v>
      </c>
      <c r="BR37" s="99">
        <v>12.3807401500938</v>
      </c>
      <c r="BS37" s="99">
        <v>12.447523452157601</v>
      </c>
      <c r="BT37" s="99">
        <v>12.514306754221399</v>
      </c>
      <c r="BU37" s="99">
        <v>12.5810900562852</v>
      </c>
      <c r="BV37" s="99">
        <v>12.647873358349001</v>
      </c>
      <c r="BW37" s="99">
        <v>12.7146566604128</v>
      </c>
      <c r="BX37" s="99">
        <v>12.781439962476499</v>
      </c>
      <c r="BY37" s="99">
        <v>12.8482232645403</v>
      </c>
      <c r="BZ37" s="99">
        <v>12.915006566604101</v>
      </c>
      <c r="CA37" s="99">
        <v>12.981789868667899</v>
      </c>
      <c r="CB37" s="99">
        <v>13.0485731707317</v>
      </c>
      <c r="CC37" s="99">
        <v>13.115356472795501</v>
      </c>
      <c r="CD37" s="99">
        <v>13.1821397748593</v>
      </c>
      <c r="CE37" s="99">
        <v>13.2489230769231</v>
      </c>
      <c r="CF37" s="99">
        <v>13.315706378986899</v>
      </c>
      <c r="CG37" s="99">
        <v>13.3824896810507</v>
      </c>
      <c r="CH37" s="99">
        <v>13.449272983114399</v>
      </c>
      <c r="CI37" s="99">
        <v>13.5160562851782</v>
      </c>
      <c r="CJ37" s="99">
        <v>13.582839587242001</v>
      </c>
      <c r="CK37" s="99">
        <v>13.6496228893058</v>
      </c>
      <c r="CL37" s="99">
        <v>13.7164061913696</v>
      </c>
      <c r="CM37" s="99">
        <v>13.783189493433399</v>
      </c>
      <c r="CN37" s="99">
        <v>13.8499727954972</v>
      </c>
      <c r="CO37" s="99">
        <v>13.916756097561001</v>
      </c>
      <c r="CP37" s="99">
        <v>13.983539399624799</v>
      </c>
      <c r="CQ37" s="99">
        <v>14.0503227016886</v>
      </c>
      <c r="CR37" s="99">
        <v>14.1171060037523</v>
      </c>
      <c r="CS37" s="99">
        <v>14.1838893058161</v>
      </c>
      <c r="CT37" s="99">
        <v>14.250672607879901</v>
      </c>
      <c r="CU37" s="99">
        <v>14.3174559099437</v>
      </c>
      <c r="CV37" s="99">
        <v>14.3842392120075</v>
      </c>
      <c r="CW37" s="99">
        <v>14.451022514071299</v>
      </c>
      <c r="CX37" s="99">
        <v>14.5178058161351</v>
      </c>
      <c r="CY37" s="99">
        <v>14.584589118198901</v>
      </c>
      <c r="CZ37" s="99">
        <v>14.6513724202627</v>
      </c>
      <c r="DA37" s="99">
        <v>14.7181557223265</v>
      </c>
      <c r="DB37" s="99">
        <v>14.7849390243902</v>
      </c>
      <c r="DC37" s="99">
        <v>14.851722326454</v>
      </c>
      <c r="DD37" s="99">
        <v>14.918505628517799</v>
      </c>
      <c r="DE37" s="99">
        <v>14.9852889305816</v>
      </c>
      <c r="DF37" s="99">
        <v>15.052072232645401</v>
      </c>
      <c r="DG37" s="99">
        <v>15.1188555347092</v>
      </c>
      <c r="DH37" s="99">
        <v>15.185638836773</v>
      </c>
      <c r="DI37" s="99">
        <v>15.252422138836801</v>
      </c>
      <c r="DJ37" s="99">
        <v>15.3192054409006</v>
      </c>
      <c r="DK37" s="99">
        <v>15.3859887429644</v>
      </c>
      <c r="DL37" s="99">
        <v>15.4527720450281</v>
      </c>
      <c r="DM37" s="99">
        <v>15.519555347091901</v>
      </c>
      <c r="DN37" s="99">
        <v>15.586338649155699</v>
      </c>
      <c r="DO37" s="99">
        <v>15.6531219512195</v>
      </c>
      <c r="DP37" s="99">
        <v>15.719905253283301</v>
      </c>
      <c r="DQ37" s="99">
        <v>15.7866885553471</v>
      </c>
      <c r="DR37" s="99">
        <v>15.8534718574109</v>
      </c>
      <c r="DS37" s="99">
        <v>15.920255159474699</v>
      </c>
      <c r="DT37" s="99">
        <v>15.9870384615385</v>
      </c>
      <c r="DU37" s="99">
        <v>16.053821763602301</v>
      </c>
      <c r="DV37" s="99">
        <v>16.120605065665998</v>
      </c>
      <c r="DW37" s="99">
        <v>16.187388367729799</v>
      </c>
      <c r="DX37" s="99">
        <v>16.2541716697936</v>
      </c>
      <c r="DY37" s="99">
        <v>16.3209549718574</v>
      </c>
      <c r="DZ37" s="99">
        <v>16.387738273921201</v>
      </c>
      <c r="EA37" s="99">
        <v>16.454521575985002</v>
      </c>
      <c r="EB37" s="99">
        <v>16.521304878048799</v>
      </c>
      <c r="EC37" s="99">
        <v>16.588088180112599</v>
      </c>
      <c r="ED37" s="99">
        <v>16.6548714821764</v>
      </c>
      <c r="EE37" s="99">
        <v>16.721654784240101</v>
      </c>
      <c r="EF37" s="99">
        <v>16.788438086303898</v>
      </c>
      <c r="EG37" s="99">
        <v>16.855221388367699</v>
      </c>
      <c r="EH37" s="99">
        <v>16.9220046904315</v>
      </c>
      <c r="EI37" s="99">
        <v>16.9887879924953</v>
      </c>
      <c r="EJ37" s="99">
        <v>17.055571294559101</v>
      </c>
      <c r="EK37" s="99">
        <v>17.122354596622898</v>
      </c>
      <c r="EL37" s="99">
        <v>17.189137898686699</v>
      </c>
      <c r="EM37" s="99">
        <v>17.2559212007505</v>
      </c>
      <c r="EN37" s="99">
        <v>17.3227045028143</v>
      </c>
      <c r="EO37" s="99">
        <v>17.389487804878001</v>
      </c>
      <c r="EP37" s="99">
        <v>17.456271106941799</v>
      </c>
      <c r="EQ37" s="99">
        <v>17.523054409005599</v>
      </c>
      <c r="ER37" s="99">
        <v>17.5898377110694</v>
      </c>
      <c r="ES37" s="99">
        <v>17.656621013133201</v>
      </c>
      <c r="ET37" s="99">
        <v>17.723404315197001</v>
      </c>
      <c r="EU37" s="99">
        <v>17.790187617260798</v>
      </c>
      <c r="EV37" s="99">
        <v>17.856970919324599</v>
      </c>
      <c r="EW37" s="99">
        <v>17.9237542213884</v>
      </c>
      <c r="EX37" s="99">
        <v>17.9905375234522</v>
      </c>
      <c r="EY37" s="99">
        <v>18.057320825516001</v>
      </c>
      <c r="EZ37" s="99">
        <v>18.124104127579699</v>
      </c>
      <c r="FA37" s="99">
        <v>18.190887429643499</v>
      </c>
      <c r="FB37" s="99">
        <v>18.2576707317073</v>
      </c>
      <c r="FC37" s="99">
        <v>18.324454033771101</v>
      </c>
      <c r="FD37" s="99">
        <v>18.391237335834902</v>
      </c>
      <c r="FE37" s="99">
        <v>18.458020637898699</v>
      </c>
      <c r="FF37" s="99">
        <v>18.524803939962499</v>
      </c>
      <c r="FG37" s="99">
        <v>18.5915872420263</v>
      </c>
      <c r="FH37" s="99">
        <v>18.658370544090101</v>
      </c>
      <c r="FI37" s="99">
        <v>18.725153846153798</v>
      </c>
      <c r="FJ37" s="99">
        <v>18.791937148217599</v>
      </c>
      <c r="FK37" s="99">
        <v>18.8587204502814</v>
      </c>
      <c r="FL37" s="99">
        <v>18.9255037523452</v>
      </c>
      <c r="FM37" s="99">
        <v>18.992287054409001</v>
      </c>
      <c r="FN37" s="99">
        <v>19.059070356472802</v>
      </c>
      <c r="FO37" s="99">
        <v>19.125853658536599</v>
      </c>
      <c r="FP37" s="99">
        <v>19.192636960600399</v>
      </c>
      <c r="FQ37" s="99">
        <v>19.2594202626642</v>
      </c>
      <c r="FR37" s="99">
        <v>19.326203564728001</v>
      </c>
      <c r="FS37" s="99">
        <v>19.392986866791698</v>
      </c>
      <c r="FT37" s="99">
        <v>19.459770168855499</v>
      </c>
      <c r="FU37" s="99">
        <v>19.5265534709193</v>
      </c>
      <c r="FV37" s="99">
        <v>19.593336772983101</v>
      </c>
      <c r="FW37" s="99">
        <v>19.660120075046901</v>
      </c>
      <c r="FX37" s="99">
        <v>19.726903377110698</v>
      </c>
      <c r="FY37" s="99">
        <v>19.793686679174499</v>
      </c>
      <c r="FZ37" s="99">
        <v>19.8604699812383</v>
      </c>
      <c r="GA37" s="99">
        <v>19.9272532833021</v>
      </c>
      <c r="GB37" s="99">
        <v>19.994036585365901</v>
      </c>
      <c r="GC37" s="99">
        <v>20.060819887429599</v>
      </c>
      <c r="GD37" s="99">
        <v>20.127603189493399</v>
      </c>
      <c r="GE37" s="99">
        <v>20.1943864915572</v>
      </c>
      <c r="GF37" s="99">
        <v>20.261169793621001</v>
      </c>
      <c r="GG37" s="99">
        <v>20.327953095684801</v>
      </c>
      <c r="GH37" s="99">
        <v>20.394736397748598</v>
      </c>
      <c r="GI37" s="99">
        <v>20.461519699812399</v>
      </c>
      <c r="GJ37" s="99">
        <v>20.5283030018762</v>
      </c>
      <c r="GK37" s="99">
        <v>20.595086303940001</v>
      </c>
      <c r="GL37" s="99">
        <v>20.661869606003801</v>
      </c>
      <c r="GM37" s="99">
        <v>20.728652908067499</v>
      </c>
      <c r="GN37" s="99">
        <v>20.7954362101313</v>
      </c>
      <c r="GO37" s="99">
        <v>20.8622195121951</v>
      </c>
      <c r="GP37" s="99">
        <v>20.929002814258901</v>
      </c>
      <c r="GQ37" s="99">
        <v>20.995786116322702</v>
      </c>
      <c r="GR37" s="99">
        <v>21.062569418386499</v>
      </c>
      <c r="GS37" s="99">
        <v>21.129352720450299</v>
      </c>
      <c r="GT37" s="99">
        <v>21.1961360225141</v>
      </c>
      <c r="GU37" s="99">
        <v>21.262919324577901</v>
      </c>
      <c r="GV37" s="99">
        <v>21.329702626641701</v>
      </c>
      <c r="GW37" s="99">
        <v>21.396485928705399</v>
      </c>
      <c r="GX37" s="99">
        <v>21.4632692307692</v>
      </c>
      <c r="GY37" s="99">
        <v>21.530052532833</v>
      </c>
      <c r="GZ37" s="99">
        <v>21.596835834896801</v>
      </c>
      <c r="HA37" s="99">
        <v>21.663619136960602</v>
      </c>
      <c r="HB37" s="99">
        <v>21.730402439024399</v>
      </c>
      <c r="HC37" s="99">
        <v>21.7971857410882</v>
      </c>
      <c r="HD37" s="99">
        <v>21.863969043152</v>
      </c>
      <c r="HE37" s="99">
        <v>21.930752345215801</v>
      </c>
      <c r="HF37" s="99">
        <v>21.997535647279602</v>
      </c>
      <c r="HG37" s="99">
        <v>22.064318949343299</v>
      </c>
      <c r="HH37" s="99">
        <v>22.1311022514071</v>
      </c>
      <c r="HI37" s="99">
        <v>22.197885553470901</v>
      </c>
      <c r="HJ37" s="99">
        <v>22.264668855534701</v>
      </c>
      <c r="HK37" s="99">
        <v>22.331452157598498</v>
      </c>
      <c r="HL37" s="99">
        <v>22.398235459662299</v>
      </c>
      <c r="HM37" s="99">
        <v>22.4650187617261</v>
      </c>
      <c r="HN37" s="99">
        <v>22.5318020637899</v>
      </c>
      <c r="HO37" s="99">
        <v>22.598585365853701</v>
      </c>
      <c r="HP37" s="99">
        <v>22.665368667917502</v>
      </c>
      <c r="HQ37" s="99">
        <v>22.732151969981199</v>
      </c>
      <c r="HR37" s="99">
        <v>22.798935272045</v>
      </c>
      <c r="HS37" s="99">
        <v>22.865718574108801</v>
      </c>
      <c r="HT37" s="99">
        <v>22.932501876172601</v>
      </c>
      <c r="HU37" s="99">
        <v>22.999285178236399</v>
      </c>
      <c r="HV37" s="99">
        <v>23.066068480300199</v>
      </c>
      <c r="HW37" s="99">
        <v>23.132851782364</v>
      </c>
      <c r="HX37" s="99">
        <v>23.199635084427801</v>
      </c>
      <c r="HY37" s="99">
        <v>23.266418386491601</v>
      </c>
      <c r="HZ37" s="99">
        <v>23.333201688555398</v>
      </c>
      <c r="IA37" s="99">
        <v>23.3999849906191</v>
      </c>
      <c r="IB37" s="99">
        <v>23.4667682926829</v>
      </c>
      <c r="IC37" s="99">
        <v>23.533551594746701</v>
      </c>
      <c r="ID37" s="99">
        <v>23.600334896810502</v>
      </c>
      <c r="IE37" s="99">
        <v>23.667118198874299</v>
      </c>
      <c r="IF37" s="99">
        <v>23.733901500938099</v>
      </c>
      <c r="IG37" s="99">
        <v>23.8006848030019</v>
      </c>
      <c r="IH37" s="99">
        <v>23.867468105065701</v>
      </c>
      <c r="II37" s="99">
        <v>23.934251407129501</v>
      </c>
      <c r="IJ37" s="99">
        <v>24.001034709193299</v>
      </c>
      <c r="IK37" s="99">
        <v>24.067818011257</v>
      </c>
      <c r="IL37" s="99">
        <v>24.1346013133208</v>
      </c>
      <c r="IM37" s="99">
        <v>24.201384615384601</v>
      </c>
      <c r="IN37" s="99">
        <v>24.268167917448402</v>
      </c>
      <c r="IO37" s="99">
        <v>24.334951219512199</v>
      </c>
      <c r="IP37" s="99">
        <v>24.401734521576</v>
      </c>
      <c r="IQ37" s="99">
        <v>24.4685178236398</v>
      </c>
      <c r="IR37" s="99">
        <v>24.535301125703601</v>
      </c>
      <c r="IS37" s="99">
        <v>24.602084427767402</v>
      </c>
      <c r="IT37" s="99">
        <v>24.668867729831099</v>
      </c>
      <c r="IU37" s="99">
        <v>24.7356510318949</v>
      </c>
      <c r="IV37" s="99">
        <v>24.802434333958701</v>
      </c>
      <c r="IW37" s="99">
        <v>24.869217636022501</v>
      </c>
      <c r="IX37" s="99">
        <v>24.936000938086298</v>
      </c>
      <c r="IY37" s="99">
        <v>25.002784240150099</v>
      </c>
      <c r="IZ37" s="99">
        <v>25.0695675422139</v>
      </c>
      <c r="JA37" s="99">
        <v>25.1363508442777</v>
      </c>
      <c r="JB37" s="99">
        <v>25.203134146341501</v>
      </c>
      <c r="JC37" s="99">
        <v>25.269917448405302</v>
      </c>
      <c r="JD37" s="99">
        <v>25.336700750468999</v>
      </c>
      <c r="JE37" s="99">
        <v>25.4034840525328</v>
      </c>
      <c r="JF37" s="99">
        <v>25.470267354596601</v>
      </c>
      <c r="JG37" s="99">
        <v>25.537050656660401</v>
      </c>
      <c r="JH37" s="99">
        <v>25.603833958724199</v>
      </c>
      <c r="JI37" s="99">
        <v>25.670617260787999</v>
      </c>
      <c r="JJ37" s="99">
        <v>25.7374005628518</v>
      </c>
      <c r="JK37" s="99">
        <v>25.804183864915601</v>
      </c>
      <c r="JL37" s="99">
        <v>25.870967166979401</v>
      </c>
      <c r="JM37" s="99">
        <v>25.937750469043198</v>
      </c>
      <c r="JN37" s="99">
        <v>26.0045337711069</v>
      </c>
      <c r="JO37" s="99">
        <v>26.0713170731707</v>
      </c>
      <c r="JP37" s="99">
        <v>26.138100375234501</v>
      </c>
      <c r="JQ37" s="99">
        <v>26.204883677298302</v>
      </c>
      <c r="JR37" s="99">
        <v>26.271666979362099</v>
      </c>
      <c r="JS37" s="99">
        <v>26.338450281425899</v>
      </c>
      <c r="JT37" s="99">
        <v>26.4052335834897</v>
      </c>
      <c r="JU37" s="99">
        <v>26.472016885553501</v>
      </c>
      <c r="JV37" s="99">
        <v>26.538800187617301</v>
      </c>
      <c r="JW37" s="99">
        <v>26.605583489681099</v>
      </c>
      <c r="JX37" s="99">
        <v>26.6723667917448</v>
      </c>
      <c r="JY37" s="99">
        <v>26.7391500938086</v>
      </c>
      <c r="JZ37" s="99">
        <v>26.805933395872401</v>
      </c>
      <c r="KA37" s="99">
        <v>26.872716697936202</v>
      </c>
      <c r="KB37" s="99">
        <v>26.939499999999999</v>
      </c>
      <c r="KC37" s="99">
        <v>27.0062833020638</v>
      </c>
      <c r="KD37" s="99">
        <v>27.0730666041276</v>
      </c>
      <c r="KE37" s="99">
        <v>27.139849906191401</v>
      </c>
      <c r="KF37" s="99">
        <v>27.206633208255202</v>
      </c>
      <c r="KG37" s="99">
        <v>27.273416510318999</v>
      </c>
      <c r="KH37" s="99">
        <v>27.3401998123827</v>
      </c>
      <c r="KI37" s="99">
        <v>27.406983114446501</v>
      </c>
      <c r="KJ37" s="99">
        <v>27.473766416510301</v>
      </c>
      <c r="KK37" s="99">
        <v>27.540549718574098</v>
      </c>
      <c r="KL37" s="99">
        <v>27.607333020637899</v>
      </c>
      <c r="KM37" s="99">
        <v>27.6741163227017</v>
      </c>
      <c r="KN37" s="99">
        <v>27.7408996247655</v>
      </c>
      <c r="KO37" s="99">
        <v>27.807682926829301</v>
      </c>
      <c r="KP37" s="99">
        <v>27.874466228893102</v>
      </c>
      <c r="KQ37" s="99">
        <v>27.941249530956899</v>
      </c>
      <c r="KR37" s="99">
        <v>28.0080328330206</v>
      </c>
      <c r="KS37" s="99">
        <v>28.074816135084401</v>
      </c>
      <c r="KT37" s="99">
        <v>28.141599437148201</v>
      </c>
      <c r="KU37" s="99">
        <v>28.208382739211999</v>
      </c>
      <c r="KV37" s="99">
        <v>28.275166041275799</v>
      </c>
      <c r="KW37" s="99">
        <v>28.3419493433396</v>
      </c>
      <c r="KX37" s="99">
        <v>28.408732645403401</v>
      </c>
      <c r="KY37" s="99">
        <v>28.475515947467201</v>
      </c>
      <c r="KZ37" s="99">
        <v>28.542299249530998</v>
      </c>
      <c r="LA37" s="99">
        <v>28.609082551594799</v>
      </c>
      <c r="LB37" s="99">
        <v>28.6758658536585</v>
      </c>
      <c r="LC37" s="99">
        <v>28.742649155722301</v>
      </c>
      <c r="LD37" s="99">
        <v>28.809432457786102</v>
      </c>
      <c r="LE37" s="99">
        <v>28.876215759849899</v>
      </c>
      <c r="LF37" s="99">
        <v>28.942999061913699</v>
      </c>
      <c r="LG37" s="99">
        <v>29.0097823639775</v>
      </c>
      <c r="LH37" s="99">
        <v>29.076565666041301</v>
      </c>
      <c r="LI37" s="99">
        <v>29.143348968105101</v>
      </c>
      <c r="LJ37" s="99">
        <v>29.210132270168899</v>
      </c>
      <c r="LK37" s="99">
        <v>29.2769155722326</v>
      </c>
      <c r="LL37" s="99">
        <v>29.3436988742964</v>
      </c>
      <c r="LM37" s="99">
        <v>29.410482176360201</v>
      </c>
      <c r="LN37" s="99">
        <v>29.477265478423998</v>
      </c>
      <c r="LO37" s="99">
        <v>29.544048780487799</v>
      </c>
      <c r="LP37" s="99">
        <v>29.6108320825516</v>
      </c>
      <c r="LQ37" s="99">
        <v>29.6776153846154</v>
      </c>
      <c r="LR37" s="99">
        <v>29.744398686679201</v>
      </c>
      <c r="LS37" s="99">
        <v>29.811181988743002</v>
      </c>
      <c r="LT37" s="99">
        <v>29.877965290806799</v>
      </c>
      <c r="LU37" s="99">
        <v>29.9447485928705</v>
      </c>
      <c r="LV37" s="99">
        <v>30.011531894934301</v>
      </c>
      <c r="LW37" s="99">
        <v>30.078315196998101</v>
      </c>
      <c r="LX37" s="99">
        <v>30.145098499061898</v>
      </c>
      <c r="LY37" s="99">
        <v>30.211881801125699</v>
      </c>
      <c r="LZ37" s="99">
        <v>30.2786651031895</v>
      </c>
      <c r="MA37" s="99">
        <v>30.3454484052533</v>
      </c>
      <c r="MB37" s="99">
        <v>30.412231707317101</v>
      </c>
      <c r="MC37" s="99">
        <v>30.479015009380898</v>
      </c>
      <c r="MD37" s="99">
        <v>30.545798311444699</v>
      </c>
      <c r="ME37" s="99">
        <v>30.6125816135084</v>
      </c>
      <c r="MF37" s="99">
        <v>30.679364915572201</v>
      </c>
      <c r="MG37" s="99">
        <v>30.746148217636001</v>
      </c>
      <c r="MH37" s="99">
        <v>30.812931519699799</v>
      </c>
      <c r="MI37" s="99">
        <v>30.879714821763599</v>
      </c>
      <c r="MJ37" s="99">
        <v>30.9464981238274</v>
      </c>
      <c r="MK37" s="99">
        <v>31.013281425891201</v>
      </c>
      <c r="ML37" s="99">
        <v>31.080064727955001</v>
      </c>
      <c r="MM37" s="99">
        <v>31.146848030018798</v>
      </c>
      <c r="MN37" s="99">
        <v>31.213631332082599</v>
      </c>
      <c r="MO37" s="99">
        <v>31.2804146341463</v>
      </c>
      <c r="MP37" s="99">
        <v>31.347197936210101</v>
      </c>
      <c r="MQ37" s="99">
        <v>31.413981238273902</v>
      </c>
      <c r="MR37" s="99">
        <v>31.480764540337699</v>
      </c>
      <c r="MS37" s="99">
        <v>31.547547842401499</v>
      </c>
      <c r="MT37" s="99">
        <v>31.6143311444653</v>
      </c>
      <c r="MU37" s="99">
        <v>31.681114446529101</v>
      </c>
      <c r="MV37" s="99">
        <v>31.747897748592901</v>
      </c>
      <c r="MW37" s="99">
        <v>31.814681050656699</v>
      </c>
      <c r="MX37" s="99">
        <v>31.881464352720499</v>
      </c>
      <c r="MY37" s="99">
        <v>31.9482476547842</v>
      </c>
      <c r="MZ37" s="99">
        <v>32.015030956848001</v>
      </c>
      <c r="NA37" s="99">
        <v>32.081814258911798</v>
      </c>
      <c r="NB37" s="99">
        <v>32.148597560975603</v>
      </c>
      <c r="NC37" s="99">
        <v>32.2153808630394</v>
      </c>
      <c r="ND37" s="99">
        <v>32.282164165103197</v>
      </c>
      <c r="NE37" s="99">
        <v>32.348947467167001</v>
      </c>
      <c r="NF37" s="99">
        <v>32.415730769230798</v>
      </c>
      <c r="NG37" s="99">
        <v>32.482514071294602</v>
      </c>
      <c r="NH37" s="99">
        <v>32.549297373358399</v>
      </c>
      <c r="NI37" s="99">
        <v>32.616080675422097</v>
      </c>
      <c r="NJ37" s="99">
        <v>32.682863977485901</v>
      </c>
      <c r="NK37" s="99">
        <v>32.749647279549698</v>
      </c>
      <c r="NL37" s="99">
        <v>32.816430581613503</v>
      </c>
      <c r="NM37" s="99">
        <v>32.8832138836773</v>
      </c>
      <c r="NN37" s="99">
        <v>32.949997185741097</v>
      </c>
      <c r="NO37" s="99">
        <v>33.016780487804901</v>
      </c>
      <c r="NP37" s="99">
        <v>33.083563789868698</v>
      </c>
      <c r="NQ37" s="99">
        <v>33.150347091932503</v>
      </c>
      <c r="NR37" s="99">
        <v>33.2171303939963</v>
      </c>
      <c r="NS37" s="99">
        <v>33.283913696059997</v>
      </c>
      <c r="NT37" s="99">
        <v>33.350696998123802</v>
      </c>
      <c r="NU37" s="99">
        <v>33.417480300187599</v>
      </c>
      <c r="NV37" s="99">
        <v>33.484263602251403</v>
      </c>
      <c r="NW37" s="99">
        <v>33.5510469043152</v>
      </c>
      <c r="NX37" s="99">
        <v>33.617830206378997</v>
      </c>
      <c r="NY37" s="99">
        <v>33.684613508442801</v>
      </c>
      <c r="NZ37" s="99">
        <v>33.751396810506598</v>
      </c>
      <c r="OA37" s="99">
        <v>33.818180112570403</v>
      </c>
      <c r="OB37" s="99">
        <v>33.8849634146342</v>
      </c>
      <c r="OC37" s="99">
        <v>33.951746716697897</v>
      </c>
      <c r="OD37" s="99">
        <v>34.018530018761702</v>
      </c>
      <c r="OE37" s="99">
        <v>34.085313320825499</v>
      </c>
      <c r="OF37" s="99">
        <v>34.152096622889303</v>
      </c>
      <c r="OG37" s="99">
        <v>34.2188799249531</v>
      </c>
      <c r="OH37" s="99">
        <v>34.285663227016897</v>
      </c>
      <c r="OI37" s="99">
        <v>34.352446529080702</v>
      </c>
      <c r="OJ37" s="99">
        <v>34.419229831144499</v>
      </c>
      <c r="OK37" s="99">
        <v>34.486013133208303</v>
      </c>
      <c r="OL37" s="99">
        <v>34.5527964352721</v>
      </c>
      <c r="OM37" s="99">
        <v>34.619579737335798</v>
      </c>
      <c r="ON37" s="99">
        <v>34.686363039399602</v>
      </c>
      <c r="OO37" s="99">
        <v>34.753146341463399</v>
      </c>
      <c r="OP37" s="99">
        <v>34.819929643527203</v>
      </c>
      <c r="OQ37" s="99">
        <v>34.886712945591</v>
      </c>
      <c r="OR37" s="99">
        <v>34.953496247654797</v>
      </c>
      <c r="OS37" s="99">
        <v>35.020279549718602</v>
      </c>
      <c r="OT37" s="99">
        <v>35.087062851782399</v>
      </c>
      <c r="OU37" s="99">
        <v>35.153846153846203</v>
      </c>
      <c r="OV37" s="99">
        <v>35.22062945591</v>
      </c>
      <c r="OW37" s="99">
        <v>35.287412757973698</v>
      </c>
      <c r="OX37" s="99">
        <v>35.354196060037502</v>
      </c>
      <c r="OY37" s="99">
        <v>35.420979362101299</v>
      </c>
      <c r="OZ37" s="99">
        <v>35.487762664165103</v>
      </c>
      <c r="PA37" s="99">
        <v>35.554545966228901</v>
      </c>
      <c r="PB37" s="99">
        <v>35.621329268292698</v>
      </c>
      <c r="PC37" s="99">
        <v>35.688112570356502</v>
      </c>
      <c r="PD37" s="99">
        <v>35.754895872420299</v>
      </c>
      <c r="PE37" s="99">
        <v>35.821679174484103</v>
      </c>
      <c r="PF37" s="99">
        <v>35.8884624765479</v>
      </c>
      <c r="PG37" s="99">
        <v>35.955245778611598</v>
      </c>
      <c r="PH37" s="99">
        <v>36.022029080675402</v>
      </c>
      <c r="PI37" s="99">
        <v>36.088812382739199</v>
      </c>
      <c r="PJ37" s="99">
        <v>36.155595684802996</v>
      </c>
      <c r="PK37" s="99">
        <v>36.222378986866801</v>
      </c>
      <c r="PL37" s="99">
        <v>36.289162288930598</v>
      </c>
      <c r="PM37" s="99">
        <v>36.355945590994402</v>
      </c>
      <c r="PN37" s="99">
        <v>36.422728893058199</v>
      </c>
      <c r="PO37" s="99">
        <v>36.489512195122003</v>
      </c>
      <c r="PP37" s="99">
        <v>36.556295497185701</v>
      </c>
      <c r="PQ37" s="99">
        <v>36.623078799249498</v>
      </c>
      <c r="PR37" s="99">
        <v>36.689862101313302</v>
      </c>
      <c r="PS37" s="99">
        <v>36.7566454033771</v>
      </c>
      <c r="PT37" s="99">
        <v>36.823428705440897</v>
      </c>
      <c r="PU37" s="99">
        <v>36.890212007504701</v>
      </c>
      <c r="PV37" s="99">
        <v>36.956995309568498</v>
      </c>
      <c r="PW37" s="99">
        <v>37.023778611632302</v>
      </c>
      <c r="PX37" s="99">
        <v>37.090561913696099</v>
      </c>
      <c r="PY37" s="99">
        <v>37.157345215759896</v>
      </c>
      <c r="PZ37" s="99">
        <v>37.224128517823601</v>
      </c>
      <c r="QA37" s="99">
        <v>37.290911819887398</v>
      </c>
      <c r="QB37" s="99">
        <v>37.357695121951203</v>
      </c>
      <c r="QC37" s="99">
        <v>37.424478424015</v>
      </c>
      <c r="QD37" s="99">
        <v>37.491261726078797</v>
      </c>
      <c r="QE37" s="99">
        <v>37.558045028142601</v>
      </c>
      <c r="QF37" s="99">
        <v>37.624828330206398</v>
      </c>
      <c r="QG37" s="99">
        <v>37.691611632270202</v>
      </c>
      <c r="QH37" s="99">
        <v>37.758394934334</v>
      </c>
      <c r="QI37" s="99">
        <v>37.825178236397797</v>
      </c>
      <c r="QJ37" s="99">
        <v>37.891961538461501</v>
      </c>
      <c r="QK37" s="99">
        <v>37.958744840525299</v>
      </c>
      <c r="QL37" s="99">
        <v>38.025528142589103</v>
      </c>
      <c r="QM37" s="99">
        <v>38.0923114446529</v>
      </c>
      <c r="QN37" s="99">
        <v>38.159094746716697</v>
      </c>
      <c r="QO37" s="99">
        <v>38.225878048780501</v>
      </c>
      <c r="QP37" s="99">
        <v>38.292661350844298</v>
      </c>
      <c r="QQ37" s="99">
        <v>38.359444652908103</v>
      </c>
      <c r="QR37" s="99">
        <v>38.4262279549719</v>
      </c>
      <c r="QS37" s="99">
        <v>38.493011257035697</v>
      </c>
      <c r="QT37" s="99">
        <v>38.559794559099402</v>
      </c>
      <c r="QU37" s="99">
        <v>38.626577861163199</v>
      </c>
      <c r="QV37" s="99">
        <v>38.693361163227003</v>
      </c>
      <c r="QW37" s="99">
        <v>38.7601444652908</v>
      </c>
      <c r="QX37" s="99">
        <v>38.826927767354597</v>
      </c>
      <c r="QY37" s="99">
        <v>38.893711069418401</v>
      </c>
      <c r="QZ37" s="99">
        <v>38.960494371482199</v>
      </c>
      <c r="RA37" s="99">
        <v>39.027277673546003</v>
      </c>
      <c r="RB37" s="99">
        <v>39.0940609756098</v>
      </c>
      <c r="RC37" s="99">
        <v>39.160844277673597</v>
      </c>
      <c r="RD37" s="99">
        <v>39.227627579737302</v>
      </c>
      <c r="RE37" s="99">
        <v>39.294410881801099</v>
      </c>
      <c r="RF37" s="99">
        <v>39.361194183864903</v>
      </c>
      <c r="RG37" s="99">
        <v>39.4279774859287</v>
      </c>
      <c r="RH37" s="99">
        <v>39.494760787992497</v>
      </c>
      <c r="RI37" s="99">
        <v>39.561544090056302</v>
      </c>
      <c r="RJ37" s="99">
        <v>39.628327392120099</v>
      </c>
      <c r="RK37" s="99">
        <v>39.695110694183903</v>
      </c>
      <c r="RL37" s="99">
        <v>39.7618939962477</v>
      </c>
      <c r="RM37" s="99">
        <v>39.828677298311497</v>
      </c>
      <c r="RN37" s="99">
        <v>39.895460600375202</v>
      </c>
      <c r="RO37" s="99">
        <v>39.962243902438999</v>
      </c>
      <c r="RP37" s="99">
        <v>40.029027204502803</v>
      </c>
      <c r="RQ37" s="99">
        <v>40.0958105065666</v>
      </c>
      <c r="RR37" s="99">
        <v>40.162593808630398</v>
      </c>
      <c r="RS37" s="99">
        <v>40.229377110694202</v>
      </c>
      <c r="RT37" s="99">
        <v>40.296160412757999</v>
      </c>
      <c r="RU37" s="99">
        <v>40.362943714821803</v>
      </c>
      <c r="RV37" s="99">
        <v>40.4297270168856</v>
      </c>
      <c r="RW37" s="99">
        <v>40.496510318949298</v>
      </c>
      <c r="RX37" s="99">
        <v>40.563293621013102</v>
      </c>
      <c r="RY37" s="99">
        <v>40.630076923076899</v>
      </c>
      <c r="RZ37" s="99">
        <v>40.696860225140703</v>
      </c>
      <c r="SA37" s="99">
        <v>40.763643527204501</v>
      </c>
      <c r="SB37" s="99">
        <v>40.830426829268298</v>
      </c>
      <c r="SC37" s="99">
        <v>40.897210131332102</v>
      </c>
      <c r="SD37" s="99">
        <v>40.963993433395899</v>
      </c>
      <c r="SE37" s="99">
        <v>41.030776735459703</v>
      </c>
      <c r="SF37" s="99">
        <v>41.0975600375235</v>
      </c>
      <c r="SG37" s="99">
        <v>41.164343339587198</v>
      </c>
      <c r="SH37" s="99">
        <v>41.231126641651002</v>
      </c>
      <c r="SI37" s="99">
        <v>41.297909943714799</v>
      </c>
      <c r="SJ37" s="99">
        <v>41.364693245778597</v>
      </c>
      <c r="SK37" s="99">
        <v>41.431476547842401</v>
      </c>
      <c r="SL37" s="99">
        <v>41.498259849906198</v>
      </c>
      <c r="SM37" s="99">
        <v>41.565043151970002</v>
      </c>
      <c r="SN37" s="99">
        <v>41.631826454033799</v>
      </c>
      <c r="SO37" s="99">
        <v>41.698609756097603</v>
      </c>
      <c r="SP37" s="99">
        <v>41.765393058161401</v>
      </c>
      <c r="SQ37" s="99">
        <v>41.832176360225098</v>
      </c>
      <c r="SR37" s="99">
        <v>41.898959662288902</v>
      </c>
      <c r="SS37" s="99">
        <v>41.9657429643527</v>
      </c>
      <c r="ST37" s="99">
        <v>42.032526266416497</v>
      </c>
      <c r="SU37" s="99">
        <v>42.099309568480301</v>
      </c>
      <c r="SV37" s="99">
        <v>42.166092870544098</v>
      </c>
      <c r="SW37" s="99">
        <v>42.232876172607902</v>
      </c>
      <c r="SX37" s="99">
        <v>42.299659474671699</v>
      </c>
      <c r="SY37" s="99">
        <v>42.366442776735497</v>
      </c>
      <c r="SZ37" s="99">
        <v>42.433226078799301</v>
      </c>
      <c r="TA37" s="99">
        <v>42.500009380862998</v>
      </c>
      <c r="TB37" s="99">
        <v>42.566792682926803</v>
      </c>
      <c r="TC37" s="99">
        <v>42.6335759849906</v>
      </c>
      <c r="TD37" s="99">
        <v>42.700359287054397</v>
      </c>
      <c r="TE37" s="99">
        <v>42.767142589118201</v>
      </c>
      <c r="TF37" s="99">
        <v>42.833925891181998</v>
      </c>
      <c r="TG37" s="99">
        <v>42.900709193245802</v>
      </c>
      <c r="TH37" s="99">
        <v>42.9674924953096</v>
      </c>
      <c r="TI37" s="99">
        <v>43.034275797373397</v>
      </c>
      <c r="TJ37" s="99">
        <v>43.101059099437201</v>
      </c>
      <c r="TK37" s="99">
        <v>43.167842401500899</v>
      </c>
      <c r="TL37" s="99">
        <v>43.234625703564703</v>
      </c>
      <c r="TM37" s="99">
        <v>43.3014090056285</v>
      </c>
      <c r="TN37" s="99">
        <v>43.368192307692297</v>
      </c>
      <c r="TO37" s="99">
        <v>43.434975609756101</v>
      </c>
      <c r="TP37" s="99">
        <v>43.501758911819898</v>
      </c>
      <c r="TQ37" s="99">
        <v>43.568542213883703</v>
      </c>
      <c r="TR37" s="99">
        <v>43.6353255159475</v>
      </c>
      <c r="TS37" s="99">
        <v>43.702108818011297</v>
      </c>
      <c r="TT37" s="99">
        <v>43.768892120075101</v>
      </c>
      <c r="TU37" s="99">
        <v>43.835675422138799</v>
      </c>
      <c r="TV37" s="99">
        <v>43.902458724202603</v>
      </c>
      <c r="TW37" s="99">
        <v>43.9692420262664</v>
      </c>
      <c r="TX37" s="99">
        <v>44.036025328330197</v>
      </c>
      <c r="TY37" s="99">
        <v>44.102808630394001</v>
      </c>
      <c r="TZ37" s="99">
        <v>44.169591932457799</v>
      </c>
      <c r="UA37" s="99">
        <v>44.236375234521603</v>
      </c>
      <c r="UB37" s="99">
        <v>44.3031585365854</v>
      </c>
      <c r="UC37" s="99">
        <v>44.369941838649197</v>
      </c>
      <c r="UD37" s="99">
        <v>44.436725140713001</v>
      </c>
      <c r="UE37" s="99">
        <v>44.503508442776699</v>
      </c>
      <c r="UF37" s="99">
        <v>44.570291744840503</v>
      </c>
      <c r="UG37" s="99">
        <v>44.6370750469043</v>
      </c>
      <c r="UH37" s="99">
        <v>44.703858348968097</v>
      </c>
      <c r="UI37" s="99">
        <v>44.770641651031902</v>
      </c>
      <c r="UJ37" s="99">
        <v>44.837424953095699</v>
      </c>
      <c r="UK37" s="99">
        <v>44.904208255159503</v>
      </c>
      <c r="UL37" s="99">
        <v>44.9709915572233</v>
      </c>
      <c r="UM37" s="99">
        <v>45.037774859287097</v>
      </c>
      <c r="UN37" s="99">
        <v>45.104558161350901</v>
      </c>
      <c r="UO37" s="99">
        <v>45.171341463414599</v>
      </c>
      <c r="UP37" s="99">
        <v>45.238124765478403</v>
      </c>
      <c r="UQ37" s="99">
        <v>45.3049080675422</v>
      </c>
      <c r="UR37" s="99">
        <v>45.371691369605998</v>
      </c>
      <c r="US37" s="99">
        <v>45.438474671669802</v>
      </c>
      <c r="UT37" s="99">
        <v>45.505257973733599</v>
      </c>
    </row>
    <row r="38" spans="1:566" x14ac:dyDescent="0.2">
      <c r="A38" s="89">
        <v>16</v>
      </c>
      <c r="B38" s="90">
        <v>7.76</v>
      </c>
      <c r="C38" s="90">
        <v>7.82</v>
      </c>
      <c r="D38" s="90">
        <v>7.89</v>
      </c>
      <c r="E38" s="90">
        <v>7.95</v>
      </c>
      <c r="F38" s="90">
        <v>8.02</v>
      </c>
      <c r="G38" s="90">
        <v>8.09</v>
      </c>
      <c r="H38" s="90">
        <v>8.15</v>
      </c>
      <c r="I38" s="90">
        <v>8.2200000000000006</v>
      </c>
      <c r="J38" s="90">
        <v>8.2799999999999994</v>
      </c>
      <c r="K38" s="90">
        <v>8.35</v>
      </c>
      <c r="L38" s="90">
        <v>8.42</v>
      </c>
      <c r="M38" s="90">
        <v>8.48</v>
      </c>
      <c r="N38" s="90">
        <v>8.5500000000000007</v>
      </c>
      <c r="O38" s="90">
        <v>8.61</v>
      </c>
      <c r="P38" s="90">
        <v>8.68</v>
      </c>
      <c r="Q38" s="90">
        <v>8.75</v>
      </c>
      <c r="R38" s="90">
        <v>8.81</v>
      </c>
      <c r="S38" s="90">
        <v>8.8800000000000008</v>
      </c>
      <c r="T38" s="90">
        <v>8.9499999999999993</v>
      </c>
      <c r="U38" s="91">
        <v>9.01</v>
      </c>
      <c r="V38" s="90">
        <v>9.08</v>
      </c>
      <c r="W38" s="90">
        <v>9.14</v>
      </c>
      <c r="X38" s="90">
        <v>9.2100000000000009</v>
      </c>
      <c r="Y38" s="90">
        <v>9.2799999999999994</v>
      </c>
      <c r="Z38" s="90">
        <v>9.34</v>
      </c>
      <c r="AA38" s="90">
        <v>9.41</v>
      </c>
      <c r="AB38" s="90">
        <v>9.4700000000000006</v>
      </c>
      <c r="AC38" s="90">
        <v>9.5399999999999991</v>
      </c>
      <c r="AD38" s="90">
        <v>9.61</v>
      </c>
      <c r="AE38" s="90">
        <v>9.67</v>
      </c>
      <c r="AF38" s="90">
        <v>9.74</v>
      </c>
      <c r="AG38" s="90">
        <v>9.8000000000000007</v>
      </c>
      <c r="AH38" s="90">
        <v>9.8699999999999992</v>
      </c>
      <c r="AI38" s="90">
        <v>9.94</v>
      </c>
      <c r="AJ38" s="90">
        <v>10</v>
      </c>
      <c r="AK38" s="90">
        <v>10.07</v>
      </c>
      <c r="AL38" s="90">
        <v>10.130000000000001</v>
      </c>
      <c r="AM38" s="90">
        <v>10.199999999999999</v>
      </c>
      <c r="AN38" s="90">
        <v>10.27</v>
      </c>
      <c r="AO38" s="91">
        <v>10.33</v>
      </c>
      <c r="AP38" s="90">
        <v>10.398576923076901</v>
      </c>
      <c r="AQ38" s="90">
        <v>10.464641651031901</v>
      </c>
      <c r="AR38" s="90">
        <v>10.530706378986901</v>
      </c>
      <c r="AS38" s="90">
        <v>10.5967711069418</v>
      </c>
      <c r="AT38" s="90">
        <v>10.6628358348968</v>
      </c>
      <c r="AU38" s="90">
        <v>10.7289005628518</v>
      </c>
      <c r="AV38" s="90">
        <v>10.794965290806701</v>
      </c>
      <c r="AW38" s="90">
        <v>10.861030018761699</v>
      </c>
      <c r="AX38" s="90">
        <v>10.927094746716699</v>
      </c>
      <c r="AY38" s="90">
        <v>10.9931594746717</v>
      </c>
      <c r="AZ38" s="90">
        <v>11.0592242026266</v>
      </c>
      <c r="BA38" s="90">
        <v>11.125288930581601</v>
      </c>
      <c r="BB38" s="90">
        <v>11.191353658536601</v>
      </c>
      <c r="BC38" s="90">
        <v>11.257418386491601</v>
      </c>
      <c r="BD38" s="90">
        <v>11.3234831144465</v>
      </c>
      <c r="BE38" s="90">
        <v>11.3895478424015</v>
      </c>
      <c r="BF38" s="90">
        <v>11.4556125703565</v>
      </c>
      <c r="BG38" s="90">
        <v>11.521677298311401</v>
      </c>
      <c r="BH38" s="90">
        <v>11.587742026266399</v>
      </c>
      <c r="BI38" s="91">
        <v>11.653806754221399</v>
      </c>
      <c r="BJ38" s="90">
        <v>11.7198714821764</v>
      </c>
      <c r="BK38" s="99">
        <v>11.7859362101313</v>
      </c>
      <c r="BL38" s="99">
        <v>11.852000938086301</v>
      </c>
      <c r="BM38" s="99">
        <v>11.918065666041301</v>
      </c>
      <c r="BN38" s="99">
        <v>11.9841303939962</v>
      </c>
      <c r="BO38" s="99">
        <v>12.0501951219512</v>
      </c>
      <c r="BP38" s="99">
        <v>12.1162598499062</v>
      </c>
      <c r="BQ38" s="99">
        <v>12.1823245778612</v>
      </c>
      <c r="BR38" s="99">
        <v>12.248389305816101</v>
      </c>
      <c r="BS38" s="99">
        <v>12.314454033771099</v>
      </c>
      <c r="BT38" s="99">
        <v>12.380518761726099</v>
      </c>
      <c r="BU38" s="99">
        <v>12.446583489681</v>
      </c>
      <c r="BV38" s="99">
        <v>12.512648217636</v>
      </c>
      <c r="BW38" s="99">
        <v>12.578712945591001</v>
      </c>
      <c r="BX38" s="99">
        <v>12.644777673546001</v>
      </c>
      <c r="BY38" s="99">
        <v>12.7108424015009</v>
      </c>
      <c r="BZ38" s="99">
        <v>12.7769071294559</v>
      </c>
      <c r="CA38" s="99">
        <v>12.8429718574109</v>
      </c>
      <c r="CB38" s="99">
        <v>12.909036585365801</v>
      </c>
      <c r="CC38" s="99">
        <v>12.975101313320801</v>
      </c>
      <c r="CD38" s="99">
        <v>13.041166041275799</v>
      </c>
      <c r="CE38" s="99">
        <v>13.107230769230799</v>
      </c>
      <c r="CF38" s="99">
        <v>13.1732954971857</v>
      </c>
      <c r="CG38" s="99">
        <v>13.2393602251407</v>
      </c>
      <c r="CH38" s="99">
        <v>13.305424953095701</v>
      </c>
      <c r="CI38" s="99">
        <v>13.371489681050701</v>
      </c>
      <c r="CJ38" s="99">
        <v>13.4375544090056</v>
      </c>
      <c r="CK38" s="99">
        <v>13.5036191369606</v>
      </c>
      <c r="CL38" s="99">
        <v>13.5696838649156</v>
      </c>
      <c r="CM38" s="99">
        <v>13.635748592870501</v>
      </c>
      <c r="CN38" s="99">
        <v>13.701813320825501</v>
      </c>
      <c r="CO38" s="99">
        <v>13.767878048780499</v>
      </c>
      <c r="CP38" s="99">
        <v>13.833942776735499</v>
      </c>
      <c r="CQ38" s="99">
        <v>13.9000075046904</v>
      </c>
      <c r="CR38" s="99">
        <v>13.9660722326454</v>
      </c>
      <c r="CS38" s="99">
        <v>14.0321369606004</v>
      </c>
      <c r="CT38" s="99">
        <v>14.098201688555299</v>
      </c>
      <c r="CU38" s="99">
        <v>14.1642664165103</v>
      </c>
      <c r="CV38" s="99">
        <v>14.2303311444653</v>
      </c>
      <c r="CW38" s="99">
        <v>14.2963958724203</v>
      </c>
      <c r="CX38" s="99">
        <v>14.362460600375201</v>
      </c>
      <c r="CY38" s="99">
        <v>14.428525328330201</v>
      </c>
      <c r="CZ38" s="99">
        <v>14.494590056285199</v>
      </c>
      <c r="DA38" s="99">
        <v>14.5606547842401</v>
      </c>
      <c r="DB38" s="99">
        <v>14.6267195121951</v>
      </c>
      <c r="DC38" s="99">
        <v>14.6927842401501</v>
      </c>
      <c r="DD38" s="99">
        <v>14.7588489681051</v>
      </c>
      <c r="DE38" s="99">
        <v>14.824913696059999</v>
      </c>
      <c r="DF38" s="99">
        <v>14.890978424015</v>
      </c>
      <c r="DG38" s="99">
        <v>14.95704315197</v>
      </c>
      <c r="DH38" s="99">
        <v>15.0231078799249</v>
      </c>
      <c r="DI38" s="99">
        <v>15.089172607879901</v>
      </c>
      <c r="DJ38" s="99">
        <v>15.155237335834901</v>
      </c>
      <c r="DK38" s="99">
        <v>15.221302063789899</v>
      </c>
      <c r="DL38" s="99">
        <v>15.2873667917448</v>
      </c>
      <c r="DM38" s="99">
        <v>15.3534315196998</v>
      </c>
      <c r="DN38" s="99">
        <v>15.4194962476548</v>
      </c>
      <c r="DO38" s="99">
        <v>15.4855609756098</v>
      </c>
      <c r="DP38" s="99">
        <v>15.551625703564699</v>
      </c>
      <c r="DQ38" s="99">
        <v>15.6176904315197</v>
      </c>
      <c r="DR38" s="99">
        <v>15.6837551594747</v>
      </c>
      <c r="DS38" s="99">
        <v>15.7498198874296</v>
      </c>
      <c r="DT38" s="99">
        <v>15.815884615384601</v>
      </c>
      <c r="DU38" s="99">
        <v>15.881949343339601</v>
      </c>
      <c r="DV38" s="99">
        <v>15.948014071294599</v>
      </c>
      <c r="DW38" s="99">
        <v>16.0140787992495</v>
      </c>
      <c r="DX38" s="99">
        <v>16.080143527204498</v>
      </c>
      <c r="DY38" s="99">
        <v>16.1462082551595</v>
      </c>
      <c r="DZ38" s="99">
        <v>16.212272983114399</v>
      </c>
      <c r="EA38" s="99">
        <v>16.278337711069401</v>
      </c>
      <c r="EB38" s="99">
        <v>16.3444024390244</v>
      </c>
      <c r="EC38" s="99">
        <v>16.410467166979402</v>
      </c>
      <c r="ED38" s="99">
        <v>16.4765318949343</v>
      </c>
      <c r="EE38" s="99">
        <v>16.542596622889299</v>
      </c>
      <c r="EF38" s="99">
        <v>16.608661350844301</v>
      </c>
      <c r="EG38" s="99">
        <v>16.6747260787992</v>
      </c>
      <c r="EH38" s="99">
        <v>16.740790806754202</v>
      </c>
      <c r="EI38" s="99">
        <v>16.8068555347092</v>
      </c>
      <c r="EJ38" s="99">
        <v>16.872920262664199</v>
      </c>
      <c r="EK38" s="99">
        <v>16.938984990619101</v>
      </c>
      <c r="EL38" s="99">
        <v>17.005049718574099</v>
      </c>
      <c r="EM38" s="99">
        <v>17.071114446529101</v>
      </c>
      <c r="EN38" s="99">
        <v>17.1371791744841</v>
      </c>
      <c r="EO38" s="99">
        <v>17.203243902438999</v>
      </c>
      <c r="EP38" s="99">
        <v>17.269308630394001</v>
      </c>
      <c r="EQ38" s="99">
        <v>17.335373358348999</v>
      </c>
      <c r="ER38" s="99">
        <v>17.401438086303902</v>
      </c>
      <c r="ES38" s="99">
        <v>17.4675028142589</v>
      </c>
      <c r="ET38" s="99">
        <v>17.533567542213898</v>
      </c>
      <c r="EU38" s="99">
        <v>17.5996322701689</v>
      </c>
      <c r="EV38" s="99">
        <v>17.665696998123799</v>
      </c>
      <c r="EW38" s="99">
        <v>17.731761726078801</v>
      </c>
      <c r="EX38" s="99">
        <v>17.7978264540337</v>
      </c>
      <c r="EY38" s="99">
        <v>17.863891181988699</v>
      </c>
      <c r="EZ38" s="99">
        <v>17.9299559099438</v>
      </c>
      <c r="FA38" s="99">
        <v>17.996020637898599</v>
      </c>
      <c r="FB38" s="99">
        <v>18.062085365853601</v>
      </c>
      <c r="FC38" s="99">
        <v>18.1281500938086</v>
      </c>
      <c r="FD38" s="99">
        <v>18.194214821763602</v>
      </c>
      <c r="FE38" s="99">
        <v>18.2602795497186</v>
      </c>
      <c r="FF38" s="99">
        <v>18.326344277673499</v>
      </c>
      <c r="FG38" s="99">
        <v>18.392409005628501</v>
      </c>
      <c r="FH38" s="99">
        <v>18.4584737335834</v>
      </c>
      <c r="FI38" s="99">
        <v>18.524538461538398</v>
      </c>
      <c r="FJ38" s="99">
        <v>18.5906031894935</v>
      </c>
      <c r="FK38" s="99">
        <v>18.656667917448399</v>
      </c>
      <c r="FL38" s="99">
        <v>18.722732645403301</v>
      </c>
      <c r="FM38" s="99">
        <v>18.7887973733583</v>
      </c>
      <c r="FN38" s="99">
        <v>18.854862101313302</v>
      </c>
      <c r="FO38" s="99">
        <v>18.9209268292683</v>
      </c>
      <c r="FP38" s="99">
        <v>18.986991557223199</v>
      </c>
      <c r="FQ38" s="99">
        <v>19.0530562851783</v>
      </c>
      <c r="FR38" s="99">
        <v>19.119121013133199</v>
      </c>
      <c r="FS38" s="99">
        <v>19.185185741088102</v>
      </c>
      <c r="FT38" s="99">
        <v>19.2512504690431</v>
      </c>
      <c r="FU38" s="99">
        <v>19.317315196998099</v>
      </c>
      <c r="FV38" s="99">
        <v>19.383379924953001</v>
      </c>
      <c r="FW38" s="99">
        <v>19.449444652907999</v>
      </c>
      <c r="FX38" s="99">
        <v>19.515509380863001</v>
      </c>
      <c r="FY38" s="99">
        <v>19.581574108818</v>
      </c>
      <c r="FZ38" s="99">
        <v>19.647638836772899</v>
      </c>
      <c r="GA38" s="99">
        <v>19.713703564728</v>
      </c>
      <c r="GB38" s="99">
        <v>19.779768292682899</v>
      </c>
      <c r="GC38" s="99">
        <v>19.845833020637802</v>
      </c>
      <c r="GD38" s="99">
        <v>19.9118977485928</v>
      </c>
      <c r="GE38" s="99">
        <v>19.977962476547798</v>
      </c>
      <c r="GF38" s="99">
        <v>20.0440272045029</v>
      </c>
      <c r="GG38" s="99">
        <v>20.110091932457699</v>
      </c>
      <c r="GH38" s="99">
        <v>20.176156660412701</v>
      </c>
      <c r="GI38" s="99">
        <v>20.2422213883677</v>
      </c>
      <c r="GJ38" s="99">
        <v>20.308286116322702</v>
      </c>
      <c r="GK38" s="99">
        <v>20.3743508442777</v>
      </c>
      <c r="GL38" s="99">
        <v>20.440415572232599</v>
      </c>
      <c r="GM38" s="99">
        <v>20.5064803001877</v>
      </c>
      <c r="GN38" s="99">
        <v>20.5725450281425</v>
      </c>
      <c r="GO38" s="99">
        <v>20.638609756097502</v>
      </c>
      <c r="GP38" s="99">
        <v>20.7046744840525</v>
      </c>
      <c r="GQ38" s="99">
        <v>20.770739212007499</v>
      </c>
      <c r="GR38" s="99">
        <v>20.836803939962401</v>
      </c>
      <c r="GS38" s="99">
        <v>20.902868667917399</v>
      </c>
      <c r="GT38" s="99">
        <v>20.968933395872401</v>
      </c>
      <c r="GU38" s="99">
        <v>21.0349981238274</v>
      </c>
      <c r="GV38" s="99">
        <v>21.101062851782299</v>
      </c>
      <c r="GW38" s="99">
        <v>21.1671275797374</v>
      </c>
      <c r="GX38" s="99">
        <v>21.233192307692299</v>
      </c>
      <c r="GY38" s="99">
        <v>21.299257035647202</v>
      </c>
      <c r="GZ38" s="99">
        <v>21.3653217636022</v>
      </c>
      <c r="HA38" s="99">
        <v>21.431386491557198</v>
      </c>
      <c r="HB38" s="99">
        <v>21.4974512195122</v>
      </c>
      <c r="HC38" s="99">
        <v>21.563515947467099</v>
      </c>
      <c r="HD38" s="99">
        <v>21.629580675422101</v>
      </c>
      <c r="HE38" s="99">
        <v>21.6956454033771</v>
      </c>
      <c r="HF38" s="99">
        <v>21.761710131331998</v>
      </c>
      <c r="HG38" s="99">
        <v>21.8277748592871</v>
      </c>
      <c r="HH38" s="99">
        <v>21.893839587241999</v>
      </c>
      <c r="HI38" s="99">
        <v>21.959904315196901</v>
      </c>
      <c r="HJ38" s="99">
        <v>22.0259690431519</v>
      </c>
      <c r="HK38" s="99">
        <v>22.092033771106902</v>
      </c>
      <c r="HL38" s="99">
        <v>22.1580984990619</v>
      </c>
      <c r="HM38" s="99">
        <v>22.224163227016799</v>
      </c>
      <c r="HN38" s="99">
        <v>22.290227954971801</v>
      </c>
      <c r="HO38" s="99">
        <v>22.356292682926799</v>
      </c>
      <c r="HP38" s="99">
        <v>22.422357410881698</v>
      </c>
      <c r="HQ38" s="99">
        <v>22.4884221388368</v>
      </c>
      <c r="HR38" s="99">
        <v>22.554486866791699</v>
      </c>
      <c r="HS38" s="99">
        <v>22.6205515947468</v>
      </c>
      <c r="HT38" s="99">
        <v>22.6866163227016</v>
      </c>
      <c r="HU38" s="99">
        <v>22.752681050656602</v>
      </c>
      <c r="HV38" s="99">
        <v>22.8187457786116</v>
      </c>
      <c r="HW38" s="99">
        <v>22.884810506566598</v>
      </c>
      <c r="HX38" s="99">
        <v>22.9508752345216</v>
      </c>
      <c r="HY38" s="99">
        <v>23.016939962476499</v>
      </c>
      <c r="HZ38" s="99">
        <v>23.083004690431501</v>
      </c>
      <c r="IA38" s="99">
        <v>23.1490694183864</v>
      </c>
      <c r="IB38" s="99">
        <v>23.215134146341398</v>
      </c>
      <c r="IC38" s="99">
        <v>23.2811988742965</v>
      </c>
      <c r="ID38" s="99">
        <v>23.347263602251399</v>
      </c>
      <c r="IE38" s="99">
        <v>23.413328330206301</v>
      </c>
      <c r="IF38" s="99">
        <v>23.4793930581613</v>
      </c>
      <c r="IG38" s="99">
        <v>23.545457786116302</v>
      </c>
      <c r="IH38" s="99">
        <v>23.6115225140713</v>
      </c>
      <c r="II38" s="99">
        <v>23.677587242026199</v>
      </c>
      <c r="IJ38" s="99">
        <v>23.743651969981201</v>
      </c>
      <c r="IK38" s="99">
        <v>23.809716697936199</v>
      </c>
      <c r="IL38" s="99">
        <v>23.875781425891098</v>
      </c>
      <c r="IM38" s="99">
        <v>23.9418461538462</v>
      </c>
      <c r="IN38" s="99">
        <v>24.007910881801099</v>
      </c>
      <c r="IO38" s="99">
        <v>24.073975609756101</v>
      </c>
      <c r="IP38" s="99">
        <v>24.140040337711</v>
      </c>
      <c r="IQ38" s="99">
        <v>24.206105065666101</v>
      </c>
      <c r="IR38" s="99">
        <v>24.272169793621</v>
      </c>
      <c r="IS38" s="99">
        <v>24.338234521575899</v>
      </c>
      <c r="IT38" s="99">
        <v>24.404299249531</v>
      </c>
      <c r="IU38" s="99">
        <v>24.470363977485899</v>
      </c>
      <c r="IV38" s="99">
        <v>24.536428705440901</v>
      </c>
      <c r="IW38" s="99">
        <v>24.6024934333958</v>
      </c>
      <c r="IX38" s="99">
        <v>24.668558161350798</v>
      </c>
      <c r="IY38" s="99">
        <v>24.7346228893059</v>
      </c>
      <c r="IZ38" s="99">
        <v>24.800687617260699</v>
      </c>
      <c r="JA38" s="99">
        <v>24.866752345215801</v>
      </c>
      <c r="JB38" s="99">
        <v>24.9328170731707</v>
      </c>
      <c r="JC38" s="99">
        <v>24.998881801125801</v>
      </c>
      <c r="JD38" s="99">
        <v>25.0649465290807</v>
      </c>
      <c r="JE38" s="99">
        <v>25.131011257035599</v>
      </c>
      <c r="JF38" s="99">
        <v>25.1970759849907</v>
      </c>
      <c r="JG38" s="99">
        <v>25.2631407129455</v>
      </c>
      <c r="JH38" s="99">
        <v>25.329205440900498</v>
      </c>
      <c r="JI38" s="99">
        <v>25.3952701688555</v>
      </c>
      <c r="JJ38" s="99">
        <v>25.461334896810499</v>
      </c>
      <c r="JK38" s="99">
        <v>25.527399624765501</v>
      </c>
      <c r="JL38" s="99">
        <v>25.5934643527204</v>
      </c>
      <c r="JM38" s="99">
        <v>25.659529080675501</v>
      </c>
      <c r="JN38" s="99">
        <v>25.7255938086304</v>
      </c>
      <c r="JO38" s="99">
        <v>25.791658536585299</v>
      </c>
      <c r="JP38" s="99">
        <v>25.8577232645404</v>
      </c>
      <c r="JQ38" s="99">
        <v>25.923787992495299</v>
      </c>
      <c r="JR38" s="99">
        <v>25.989852720450301</v>
      </c>
      <c r="JS38" s="99">
        <v>26.0559174484052</v>
      </c>
      <c r="JT38" s="99">
        <v>26.121982176360198</v>
      </c>
      <c r="JU38" s="99">
        <v>26.1880469043152</v>
      </c>
      <c r="JV38" s="99">
        <v>26.254111632270099</v>
      </c>
      <c r="JW38" s="99">
        <v>26.320176360225201</v>
      </c>
      <c r="JX38" s="99">
        <v>26.3862410881801</v>
      </c>
      <c r="JY38" s="99">
        <v>26.452305816134999</v>
      </c>
      <c r="JZ38" s="99">
        <v>26.5183705440901</v>
      </c>
      <c r="KA38" s="99">
        <v>26.584435272044999</v>
      </c>
      <c r="KB38" s="99">
        <v>26.650500000000001</v>
      </c>
      <c r="KC38" s="99">
        <v>26.7165647279549</v>
      </c>
      <c r="KD38" s="99">
        <v>26.782629455909898</v>
      </c>
      <c r="KE38" s="99">
        <v>26.8486941838649</v>
      </c>
      <c r="KF38" s="99">
        <v>26.914758911819799</v>
      </c>
      <c r="KG38" s="99">
        <v>26.980823639774901</v>
      </c>
      <c r="KH38" s="99">
        <v>27.0468883677298</v>
      </c>
      <c r="KI38" s="99">
        <v>27.112953095684698</v>
      </c>
      <c r="KJ38" s="99">
        <v>27.1790178236398</v>
      </c>
      <c r="KK38" s="99">
        <v>27.245082551594699</v>
      </c>
      <c r="KL38" s="99">
        <v>27.3111472795498</v>
      </c>
      <c r="KM38" s="99">
        <v>27.3772120075046</v>
      </c>
      <c r="KN38" s="99">
        <v>27.443276735459701</v>
      </c>
      <c r="KO38" s="99">
        <v>27.5093414634146</v>
      </c>
      <c r="KP38" s="99">
        <v>27.575406191369598</v>
      </c>
      <c r="KQ38" s="99">
        <v>27.6414709193246</v>
      </c>
      <c r="KR38" s="99">
        <v>27.707535647279499</v>
      </c>
      <c r="KS38" s="99">
        <v>27.773600375234601</v>
      </c>
      <c r="KT38" s="99">
        <v>27.8396651031894</v>
      </c>
      <c r="KU38" s="99">
        <v>27.905729831144399</v>
      </c>
      <c r="KV38" s="99">
        <v>27.9717945590995</v>
      </c>
      <c r="KW38" s="99">
        <v>28.037859287054399</v>
      </c>
      <c r="KX38" s="99">
        <v>28.103924015009401</v>
      </c>
      <c r="KY38" s="99">
        <v>28.1699887429643</v>
      </c>
      <c r="KZ38" s="99">
        <v>28.236053470919298</v>
      </c>
      <c r="LA38" s="99">
        <v>28.3021181988743</v>
      </c>
      <c r="LB38" s="99">
        <v>28.368182926829199</v>
      </c>
      <c r="LC38" s="99">
        <v>28.434247654784301</v>
      </c>
      <c r="LD38" s="99">
        <v>28.5003123827392</v>
      </c>
      <c r="LE38" s="99">
        <v>28.566377110694098</v>
      </c>
      <c r="LF38" s="99">
        <v>28.6324418386492</v>
      </c>
      <c r="LG38" s="99">
        <v>28.698506566604099</v>
      </c>
      <c r="LH38" s="99">
        <v>28.764571294559101</v>
      </c>
      <c r="LI38" s="99">
        <v>28.830636022514</v>
      </c>
      <c r="LJ38" s="99">
        <v>28.896700750469101</v>
      </c>
      <c r="LK38" s="99">
        <v>28.962765478424</v>
      </c>
      <c r="LL38" s="99">
        <v>29.028830206378899</v>
      </c>
      <c r="LM38" s="99">
        <v>29.094894934334</v>
      </c>
      <c r="LN38" s="99">
        <v>29.160959662288899</v>
      </c>
      <c r="LO38" s="99">
        <v>29.227024390243798</v>
      </c>
      <c r="LP38" s="99">
        <v>29.2930891181988</v>
      </c>
      <c r="LQ38" s="99">
        <v>29.359153846153799</v>
      </c>
      <c r="LR38" s="99">
        <v>29.4252185741089</v>
      </c>
      <c r="LS38" s="99">
        <v>29.4912833020637</v>
      </c>
      <c r="LT38" s="99">
        <v>29.557348030018801</v>
      </c>
      <c r="LU38" s="99">
        <v>29.6234127579737</v>
      </c>
      <c r="LV38" s="99">
        <v>29.689477485928698</v>
      </c>
      <c r="LW38" s="99">
        <v>29.7555422138837</v>
      </c>
      <c r="LX38" s="99">
        <v>29.821606941838599</v>
      </c>
      <c r="LY38" s="99">
        <v>29.887671669793701</v>
      </c>
      <c r="LZ38" s="99">
        <v>29.9537363977485</v>
      </c>
      <c r="MA38" s="99">
        <v>30.019801125703498</v>
      </c>
      <c r="MB38" s="99">
        <v>30.0858658536586</v>
      </c>
      <c r="MC38" s="99">
        <v>30.151930581613499</v>
      </c>
      <c r="MD38" s="99">
        <v>30.217995309568501</v>
      </c>
      <c r="ME38" s="99">
        <v>30.2840600375234</v>
      </c>
      <c r="MF38" s="99">
        <v>30.350124765478501</v>
      </c>
      <c r="MG38" s="99">
        <v>30.4161894934334</v>
      </c>
      <c r="MH38" s="99">
        <v>30.482254221388299</v>
      </c>
      <c r="MI38" s="99">
        <v>30.5483189493434</v>
      </c>
      <c r="MJ38" s="99">
        <v>30.614383677298299</v>
      </c>
      <c r="MK38" s="99">
        <v>30.680448405253198</v>
      </c>
      <c r="ML38" s="99">
        <v>30.7465131332082</v>
      </c>
      <c r="MM38" s="99">
        <v>30.812577861163199</v>
      </c>
      <c r="MN38" s="99">
        <v>30.878642589118201</v>
      </c>
      <c r="MO38" s="99">
        <v>30.9447073170731</v>
      </c>
      <c r="MP38" s="99">
        <v>31.010772045028201</v>
      </c>
      <c r="MQ38" s="99">
        <v>31.0768367729831</v>
      </c>
      <c r="MR38" s="99">
        <v>31.142901500937999</v>
      </c>
      <c r="MS38" s="99">
        <v>31.2089662288931</v>
      </c>
      <c r="MT38" s="99">
        <v>31.275030956847999</v>
      </c>
      <c r="MU38" s="99">
        <v>31.341095684803001</v>
      </c>
      <c r="MV38" s="99">
        <v>31.4071604127579</v>
      </c>
      <c r="MW38" s="99">
        <v>31.473225140712898</v>
      </c>
      <c r="MX38" s="99">
        <v>31.539289868668</v>
      </c>
      <c r="MY38" s="99">
        <v>31.605354596622799</v>
      </c>
      <c r="MZ38" s="99">
        <v>31.671419324577901</v>
      </c>
      <c r="NA38" s="99">
        <v>31.7374840525328</v>
      </c>
      <c r="NB38" s="99">
        <v>31.803548780487901</v>
      </c>
      <c r="NC38" s="99">
        <v>31.8696135084428</v>
      </c>
      <c r="ND38" s="99">
        <v>31.935678236397699</v>
      </c>
      <c r="NE38" s="99">
        <v>32.0017429643528</v>
      </c>
      <c r="NF38" s="99">
        <v>32.067807692307603</v>
      </c>
      <c r="NG38" s="99">
        <v>32.133872420262598</v>
      </c>
      <c r="NH38" s="99">
        <v>32.1999371482176</v>
      </c>
      <c r="NI38" s="99">
        <v>32.266001876172602</v>
      </c>
      <c r="NJ38" s="99">
        <v>32.332066604127498</v>
      </c>
      <c r="NK38" s="99">
        <v>32.3981313320825</v>
      </c>
      <c r="NL38" s="99">
        <v>32.464196060037601</v>
      </c>
      <c r="NM38" s="99">
        <v>32.530260787992397</v>
      </c>
      <c r="NN38" s="99">
        <v>32.596325515947399</v>
      </c>
      <c r="NO38" s="99">
        <v>32.6623902439025</v>
      </c>
      <c r="NP38" s="99">
        <v>32.728454971857403</v>
      </c>
      <c r="NQ38" s="99">
        <v>32.794519699812298</v>
      </c>
      <c r="NR38" s="99">
        <v>32.8605844277673</v>
      </c>
      <c r="NS38" s="99">
        <v>32.926649155722302</v>
      </c>
      <c r="NT38" s="99">
        <v>32.992713883677197</v>
      </c>
      <c r="NU38" s="99">
        <v>33.058778611632199</v>
      </c>
      <c r="NV38" s="99">
        <v>33.124843339587301</v>
      </c>
      <c r="NW38" s="99">
        <v>33.190908067542203</v>
      </c>
      <c r="NX38" s="99">
        <v>33.256972795497099</v>
      </c>
      <c r="NY38" s="99">
        <v>33.3230375234522</v>
      </c>
      <c r="NZ38" s="99">
        <v>33.389102251407103</v>
      </c>
      <c r="OA38" s="99">
        <v>33.455166979361998</v>
      </c>
      <c r="OB38" s="99">
        <v>33.521231707317</v>
      </c>
      <c r="OC38" s="99">
        <v>33.587296435272002</v>
      </c>
      <c r="OD38" s="99">
        <v>33.653361163226997</v>
      </c>
      <c r="OE38" s="99">
        <v>33.719425891181899</v>
      </c>
      <c r="OF38" s="99">
        <v>33.785490619137001</v>
      </c>
      <c r="OG38" s="99">
        <v>33.851555347091903</v>
      </c>
      <c r="OH38" s="99">
        <v>33.917620075046798</v>
      </c>
      <c r="OI38" s="99">
        <v>33.9836848030019</v>
      </c>
      <c r="OJ38" s="99">
        <v>34.049749530956802</v>
      </c>
      <c r="OK38" s="99">
        <v>34.115814258911797</v>
      </c>
      <c r="OL38" s="99">
        <v>34.1818789868667</v>
      </c>
      <c r="OM38" s="99">
        <v>34.247943714821801</v>
      </c>
      <c r="ON38" s="99">
        <v>34.314008442776696</v>
      </c>
      <c r="OO38" s="99">
        <v>34.380073170731698</v>
      </c>
      <c r="OP38" s="99">
        <v>34.4461378986867</v>
      </c>
      <c r="OQ38" s="99">
        <v>34.512202626641603</v>
      </c>
      <c r="OR38" s="99">
        <v>34.578267354596598</v>
      </c>
      <c r="OS38" s="99">
        <v>34.6443320825515</v>
      </c>
      <c r="OT38" s="99">
        <v>34.710396810506502</v>
      </c>
      <c r="OU38" s="99">
        <v>34.776461538461497</v>
      </c>
      <c r="OV38" s="99">
        <v>34.842526266416499</v>
      </c>
      <c r="OW38" s="99">
        <v>34.908590994371501</v>
      </c>
      <c r="OX38" s="99">
        <v>34.974655722326403</v>
      </c>
      <c r="OY38" s="99">
        <v>35.040720450281398</v>
      </c>
      <c r="OZ38" s="99">
        <v>35.1067851782364</v>
      </c>
      <c r="PA38" s="99">
        <v>35.172849906191303</v>
      </c>
      <c r="PB38" s="99">
        <v>35.238914634146298</v>
      </c>
      <c r="PC38" s="99">
        <v>35.3049793621013</v>
      </c>
      <c r="PD38" s="99">
        <v>35.371044090056202</v>
      </c>
      <c r="PE38" s="99">
        <v>35.437108818011197</v>
      </c>
      <c r="PF38" s="99">
        <v>35.503173545966199</v>
      </c>
      <c r="PG38" s="99">
        <v>35.569238273921201</v>
      </c>
      <c r="PH38" s="99">
        <v>35.635303001876103</v>
      </c>
      <c r="PI38" s="99">
        <v>35.701367729831098</v>
      </c>
      <c r="PJ38" s="99">
        <v>35.7674324577861</v>
      </c>
      <c r="PK38" s="99">
        <v>35.833497185741003</v>
      </c>
      <c r="PL38" s="99">
        <v>35.899561913695997</v>
      </c>
      <c r="PM38" s="99">
        <v>35.965626641650999</v>
      </c>
      <c r="PN38" s="99">
        <v>36.031691369605902</v>
      </c>
      <c r="PO38" s="99">
        <v>36.097756097560897</v>
      </c>
      <c r="PP38" s="99">
        <v>36.163820825515899</v>
      </c>
      <c r="PQ38" s="99">
        <v>36.229885553471</v>
      </c>
      <c r="PR38" s="99">
        <v>36.295950281425803</v>
      </c>
      <c r="PS38" s="99">
        <v>36.362015009380798</v>
      </c>
      <c r="PT38" s="99">
        <v>36.4280797373358</v>
      </c>
      <c r="PU38" s="99">
        <v>36.494144465290802</v>
      </c>
      <c r="PV38" s="99">
        <v>36.560209193245697</v>
      </c>
      <c r="PW38" s="99">
        <v>36.626273921200699</v>
      </c>
      <c r="PX38" s="99">
        <v>36.692338649155801</v>
      </c>
      <c r="PY38" s="99">
        <v>36.758403377110596</v>
      </c>
      <c r="PZ38" s="99">
        <v>36.824468105065598</v>
      </c>
      <c r="QA38" s="99">
        <v>36.8905328330207</v>
      </c>
      <c r="QB38" s="99">
        <v>36.956597560975602</v>
      </c>
      <c r="QC38" s="99">
        <v>37.022662288930498</v>
      </c>
      <c r="QD38" s="99">
        <v>37.0887270168855</v>
      </c>
      <c r="QE38" s="99">
        <v>37.154791744840601</v>
      </c>
      <c r="QF38" s="99">
        <v>37.220856472795397</v>
      </c>
      <c r="QG38" s="99">
        <v>37.286921200750399</v>
      </c>
      <c r="QH38" s="99">
        <v>37.3529859287055</v>
      </c>
      <c r="QI38" s="99">
        <v>37.419050656660403</v>
      </c>
      <c r="QJ38" s="99">
        <v>37.485115384615298</v>
      </c>
      <c r="QK38" s="99">
        <v>37.5511801125703</v>
      </c>
      <c r="QL38" s="99">
        <v>37.617244840525302</v>
      </c>
      <c r="QM38" s="99">
        <v>37.683309568480198</v>
      </c>
      <c r="QN38" s="99">
        <v>37.749374296435199</v>
      </c>
      <c r="QO38" s="99">
        <v>37.815439024390301</v>
      </c>
      <c r="QP38" s="99">
        <v>37.881503752345203</v>
      </c>
      <c r="QQ38" s="99">
        <v>37.947568480300099</v>
      </c>
      <c r="QR38" s="99">
        <v>38.0136332082552</v>
      </c>
      <c r="QS38" s="99">
        <v>38.079697936210103</v>
      </c>
      <c r="QT38" s="99">
        <v>38.145762664164998</v>
      </c>
      <c r="QU38" s="99">
        <v>38.21182739212</v>
      </c>
      <c r="QV38" s="99">
        <v>38.277892120075002</v>
      </c>
      <c r="QW38" s="99">
        <v>38.343956848029997</v>
      </c>
      <c r="QX38" s="99">
        <v>38.410021575984899</v>
      </c>
      <c r="QY38" s="99">
        <v>38.476086303940001</v>
      </c>
      <c r="QZ38" s="99">
        <v>38.542151031894903</v>
      </c>
      <c r="RA38" s="99">
        <v>38.608215759849799</v>
      </c>
      <c r="RB38" s="99">
        <v>38.6742804878049</v>
      </c>
      <c r="RC38" s="99">
        <v>38.740345215759802</v>
      </c>
      <c r="RD38" s="99">
        <v>38.806409943714797</v>
      </c>
      <c r="RE38" s="99">
        <v>38.8724746716697</v>
      </c>
      <c r="RF38" s="99">
        <v>38.938539399624702</v>
      </c>
      <c r="RG38" s="99">
        <v>39.004604127579697</v>
      </c>
      <c r="RH38" s="99">
        <v>39.070668855534699</v>
      </c>
      <c r="RI38" s="99">
        <v>39.136733583489701</v>
      </c>
      <c r="RJ38" s="99">
        <v>39.202798311444603</v>
      </c>
      <c r="RK38" s="99">
        <v>39.268863039399598</v>
      </c>
      <c r="RL38" s="99">
        <v>39.3349277673546</v>
      </c>
      <c r="RM38" s="99">
        <v>39.400992495309502</v>
      </c>
      <c r="RN38" s="99">
        <v>39.467057223264497</v>
      </c>
      <c r="RO38" s="99">
        <v>39.533121951219499</v>
      </c>
      <c r="RP38" s="99">
        <v>39.599186679174501</v>
      </c>
      <c r="RQ38" s="99">
        <v>39.665251407129396</v>
      </c>
      <c r="RR38" s="99">
        <v>39.731316135084398</v>
      </c>
      <c r="RS38" s="99">
        <v>39.797380863039301</v>
      </c>
      <c r="RT38" s="99">
        <v>39.863445590994303</v>
      </c>
      <c r="RU38" s="99">
        <v>39.929510318949298</v>
      </c>
      <c r="RV38" s="99">
        <v>39.9955750469043</v>
      </c>
      <c r="RW38" s="99">
        <v>40.061639774859202</v>
      </c>
      <c r="RX38" s="99">
        <v>40.127704502814197</v>
      </c>
      <c r="RY38" s="99">
        <v>40.193769230769199</v>
      </c>
      <c r="RZ38" s="99">
        <v>40.259833958724101</v>
      </c>
      <c r="SA38" s="99">
        <v>40.325898686679103</v>
      </c>
      <c r="SB38" s="99">
        <v>40.391963414634098</v>
      </c>
      <c r="SC38" s="99">
        <v>40.4580281425891</v>
      </c>
      <c r="SD38" s="99">
        <v>40.524092870544003</v>
      </c>
      <c r="SE38" s="99">
        <v>40.590157598498998</v>
      </c>
      <c r="SF38" s="99">
        <v>40.656222326453999</v>
      </c>
      <c r="SG38" s="99">
        <v>40.722287054408902</v>
      </c>
      <c r="SH38" s="99">
        <v>40.788351782363897</v>
      </c>
      <c r="SI38" s="99">
        <v>40.854416510318899</v>
      </c>
      <c r="SJ38" s="99">
        <v>40.920481238273901</v>
      </c>
      <c r="SK38" s="99">
        <v>40.986545966228803</v>
      </c>
      <c r="SL38" s="99">
        <v>41.052610694183798</v>
      </c>
      <c r="SM38" s="99">
        <v>41.1186754221388</v>
      </c>
      <c r="SN38" s="99">
        <v>41.184740150093702</v>
      </c>
      <c r="SO38" s="99">
        <v>41.250804878048697</v>
      </c>
      <c r="SP38" s="99">
        <v>41.316869606003699</v>
      </c>
      <c r="SQ38" s="99">
        <v>41.382934333958701</v>
      </c>
      <c r="SR38" s="99">
        <v>41.448999061913597</v>
      </c>
      <c r="SS38" s="99">
        <v>41.515063789868599</v>
      </c>
      <c r="ST38" s="99">
        <v>41.581128517823601</v>
      </c>
      <c r="SU38" s="99">
        <v>41.647193245778602</v>
      </c>
      <c r="SV38" s="99">
        <v>41.713257973733498</v>
      </c>
      <c r="SW38" s="99">
        <v>41.7793227016885</v>
      </c>
      <c r="SX38" s="99">
        <v>41.845387429643502</v>
      </c>
      <c r="SY38" s="99">
        <v>41.911452157598397</v>
      </c>
      <c r="SZ38" s="99">
        <v>41.977516885553399</v>
      </c>
      <c r="TA38" s="99">
        <v>42.043581613508401</v>
      </c>
      <c r="TB38" s="99">
        <v>42.109646341463403</v>
      </c>
      <c r="TC38" s="99">
        <v>42.175711069418298</v>
      </c>
      <c r="TD38" s="99">
        <v>42.2417757973733</v>
      </c>
      <c r="TE38" s="99">
        <v>42.307840525328302</v>
      </c>
      <c r="TF38" s="99">
        <v>42.373905253283198</v>
      </c>
      <c r="TG38" s="99">
        <v>42.4399699812382</v>
      </c>
      <c r="TH38" s="99">
        <v>42.506034709193202</v>
      </c>
      <c r="TI38" s="99">
        <v>42.572099437148204</v>
      </c>
      <c r="TJ38" s="99">
        <v>42.638164165103099</v>
      </c>
      <c r="TK38" s="99">
        <v>42.704228893058101</v>
      </c>
      <c r="TL38" s="99">
        <v>42.770293621013103</v>
      </c>
      <c r="TM38" s="99">
        <v>42.836358348967998</v>
      </c>
      <c r="TN38" s="99">
        <v>42.902423076923</v>
      </c>
      <c r="TO38" s="99">
        <v>42.968487804878002</v>
      </c>
      <c r="TP38" s="99">
        <v>43.034552532832997</v>
      </c>
      <c r="TQ38" s="99">
        <v>43.100617260787899</v>
      </c>
      <c r="TR38" s="99">
        <v>43.166681988742901</v>
      </c>
      <c r="TS38" s="99">
        <v>43.232746716697903</v>
      </c>
      <c r="TT38" s="99">
        <v>43.298811444652898</v>
      </c>
      <c r="TU38" s="99">
        <v>43.364876172607801</v>
      </c>
      <c r="TV38" s="99">
        <v>43.430940900562803</v>
      </c>
      <c r="TW38" s="99">
        <v>43.497005628517798</v>
      </c>
      <c r="TX38" s="99">
        <v>43.5630703564727</v>
      </c>
      <c r="TY38" s="99">
        <v>43.629135084427702</v>
      </c>
      <c r="TZ38" s="99">
        <v>43.695199812382697</v>
      </c>
      <c r="UA38" s="99">
        <v>43.761264540337699</v>
      </c>
      <c r="UB38" s="99">
        <v>43.827329268292601</v>
      </c>
      <c r="UC38" s="99">
        <v>43.893393996247603</v>
      </c>
      <c r="UD38" s="99">
        <v>43.959458724202598</v>
      </c>
      <c r="UE38" s="99">
        <v>44.025523452157501</v>
      </c>
      <c r="UF38" s="99">
        <v>44.091588180112502</v>
      </c>
      <c r="UG38" s="99">
        <v>44.157652908067497</v>
      </c>
      <c r="UH38" s="99">
        <v>44.223717636022499</v>
      </c>
      <c r="UI38" s="99">
        <v>44.289782363977402</v>
      </c>
      <c r="UJ38" s="99">
        <v>44.355847091932397</v>
      </c>
      <c r="UK38" s="99">
        <v>44.421911819887399</v>
      </c>
      <c r="UL38" s="99">
        <v>44.487976547842301</v>
      </c>
      <c r="UM38" s="99">
        <v>44.554041275797303</v>
      </c>
      <c r="UN38" s="99">
        <v>44.620106003752298</v>
      </c>
      <c r="UO38" s="99">
        <v>44.6861707317073</v>
      </c>
      <c r="UP38" s="99">
        <v>44.752235459662202</v>
      </c>
      <c r="UQ38" s="99">
        <v>44.818300187617197</v>
      </c>
      <c r="UR38" s="99">
        <v>44.884364915572199</v>
      </c>
      <c r="US38" s="99">
        <v>44.950429643527201</v>
      </c>
      <c r="UT38" s="99">
        <v>45.016494371482203</v>
      </c>
    </row>
    <row r="39" spans="1:566" x14ac:dyDescent="0.2">
      <c r="A39" s="89">
        <v>16.5</v>
      </c>
      <c r="B39" s="90">
        <v>7.67</v>
      </c>
      <c r="C39" s="90">
        <v>7.74</v>
      </c>
      <c r="D39" s="90">
        <v>7.8</v>
      </c>
      <c r="E39" s="90">
        <v>7.87</v>
      </c>
      <c r="F39" s="90">
        <v>7.93</v>
      </c>
      <c r="G39" s="90">
        <v>8</v>
      </c>
      <c r="H39" s="90">
        <v>8.07</v>
      </c>
      <c r="I39" s="90">
        <v>8.1300000000000008</v>
      </c>
      <c r="J39" s="90">
        <v>8.1999999999999993</v>
      </c>
      <c r="K39" s="90">
        <v>8.26</v>
      </c>
      <c r="L39" s="90">
        <v>8.33</v>
      </c>
      <c r="M39" s="90">
        <v>8.39</v>
      </c>
      <c r="N39" s="90">
        <v>8.4600000000000009</v>
      </c>
      <c r="O39" s="90">
        <v>8.52</v>
      </c>
      <c r="P39" s="90">
        <v>8.59</v>
      </c>
      <c r="Q39" s="90">
        <v>8.65</v>
      </c>
      <c r="R39" s="90">
        <v>8.7200000000000006</v>
      </c>
      <c r="S39" s="90">
        <v>8.7899999999999991</v>
      </c>
      <c r="T39" s="90">
        <v>8.85</v>
      </c>
      <c r="U39" s="91">
        <v>8.92</v>
      </c>
      <c r="V39" s="90">
        <v>8.98</v>
      </c>
      <c r="W39" s="90">
        <v>9.0500000000000007</v>
      </c>
      <c r="X39" s="90">
        <v>9.11</v>
      </c>
      <c r="Y39" s="90">
        <v>9.18</v>
      </c>
      <c r="Z39" s="90">
        <v>9.24</v>
      </c>
      <c r="AA39" s="90">
        <v>9.31</v>
      </c>
      <c r="AB39" s="90">
        <v>9.3699999999999992</v>
      </c>
      <c r="AC39" s="90">
        <v>9.44</v>
      </c>
      <c r="AD39" s="90">
        <v>9.5</v>
      </c>
      <c r="AE39" s="90">
        <v>9.57</v>
      </c>
      <c r="AF39" s="90">
        <v>9.64</v>
      </c>
      <c r="AG39" s="90">
        <v>9.6999999999999993</v>
      </c>
      <c r="AH39" s="90">
        <v>9.77</v>
      </c>
      <c r="AI39" s="90">
        <v>9.83</v>
      </c>
      <c r="AJ39" s="90">
        <v>9.9</v>
      </c>
      <c r="AK39" s="90">
        <v>9.9600000000000009</v>
      </c>
      <c r="AL39" s="90">
        <v>10.029999999999999</v>
      </c>
      <c r="AM39" s="90">
        <v>10.09</v>
      </c>
      <c r="AN39" s="90">
        <v>10.16</v>
      </c>
      <c r="AO39" s="91">
        <v>10.220000000000001</v>
      </c>
      <c r="AP39" s="90">
        <v>10.2895384615385</v>
      </c>
      <c r="AQ39" s="90">
        <v>10.354954971857399</v>
      </c>
      <c r="AR39" s="90">
        <v>10.4203714821764</v>
      </c>
      <c r="AS39" s="90">
        <v>10.4857879924953</v>
      </c>
      <c r="AT39" s="90">
        <v>10.551204502814301</v>
      </c>
      <c r="AU39" s="90">
        <v>10.6166210131332</v>
      </c>
      <c r="AV39" s="90">
        <v>10.6820375234522</v>
      </c>
      <c r="AW39" s="90">
        <v>10.747454033771101</v>
      </c>
      <c r="AX39" s="90">
        <v>10.812870544090099</v>
      </c>
      <c r="AY39" s="90">
        <v>10.878287054409</v>
      </c>
      <c r="AZ39" s="90">
        <v>10.943703564728001</v>
      </c>
      <c r="BA39" s="90">
        <v>11.0091200750469</v>
      </c>
      <c r="BB39" s="90">
        <v>11.0745365853659</v>
      </c>
      <c r="BC39" s="90">
        <v>11.139953095684801</v>
      </c>
      <c r="BD39" s="90">
        <v>11.2053696060037</v>
      </c>
      <c r="BE39" s="90">
        <v>11.2707861163227</v>
      </c>
      <c r="BF39" s="90">
        <v>11.336202626641599</v>
      </c>
      <c r="BG39" s="90">
        <v>11.401619136960599</v>
      </c>
      <c r="BH39" s="90">
        <v>11.4670356472795</v>
      </c>
      <c r="BI39" s="91">
        <v>11.532452157598501</v>
      </c>
      <c r="BJ39" s="90">
        <v>11.5978686679174</v>
      </c>
      <c r="BK39" s="99">
        <v>11.6632851782364</v>
      </c>
      <c r="BL39" s="99">
        <v>11.728701688555301</v>
      </c>
      <c r="BM39" s="99">
        <v>11.794118198874299</v>
      </c>
      <c r="BN39" s="99">
        <v>11.8595347091932</v>
      </c>
      <c r="BO39" s="99">
        <v>11.9249512195122</v>
      </c>
      <c r="BP39" s="99">
        <v>11.9903677298311</v>
      </c>
      <c r="BQ39" s="99">
        <v>12.0557842401501</v>
      </c>
      <c r="BR39" s="99">
        <v>12.121200750469001</v>
      </c>
      <c r="BS39" s="99">
        <v>12.186617260787999</v>
      </c>
      <c r="BT39" s="99">
        <v>12.2520337711069</v>
      </c>
      <c r="BU39" s="99">
        <v>12.3174502814259</v>
      </c>
      <c r="BV39" s="99">
        <v>12.382866791744799</v>
      </c>
      <c r="BW39" s="99">
        <v>12.4482833020638</v>
      </c>
      <c r="BX39" s="99">
        <v>12.513699812382701</v>
      </c>
      <c r="BY39" s="99">
        <v>12.579116322701701</v>
      </c>
      <c r="BZ39" s="99">
        <v>12.6445328330206</v>
      </c>
      <c r="CA39" s="99">
        <v>12.7099493433396</v>
      </c>
      <c r="CB39" s="99">
        <v>12.775365853658499</v>
      </c>
      <c r="CC39" s="99">
        <v>12.8407823639775</v>
      </c>
      <c r="CD39" s="99">
        <v>12.9061988742964</v>
      </c>
      <c r="CE39" s="99">
        <v>12.971615384615401</v>
      </c>
      <c r="CF39" s="99">
        <v>13.0370318949343</v>
      </c>
      <c r="CG39" s="99">
        <v>13.1024484052533</v>
      </c>
      <c r="CH39" s="99">
        <v>13.167864915572199</v>
      </c>
      <c r="CI39" s="99">
        <v>13.233281425891199</v>
      </c>
      <c r="CJ39" s="99">
        <v>13.2986979362101</v>
      </c>
      <c r="CK39" s="99">
        <v>13.364114446529101</v>
      </c>
      <c r="CL39" s="99">
        <v>13.429530956848</v>
      </c>
      <c r="CM39" s="99">
        <v>13.494947467167</v>
      </c>
      <c r="CN39" s="99">
        <v>13.560363977485901</v>
      </c>
      <c r="CO39" s="99">
        <v>13.625780487804899</v>
      </c>
      <c r="CP39" s="99">
        <v>13.6911969981238</v>
      </c>
      <c r="CQ39" s="99">
        <v>13.756613508442801</v>
      </c>
      <c r="CR39" s="99">
        <v>13.8220300187617</v>
      </c>
      <c r="CS39" s="99">
        <v>13.8874465290807</v>
      </c>
      <c r="CT39" s="99">
        <v>13.952863039399601</v>
      </c>
      <c r="CU39" s="99">
        <v>14.018279549718599</v>
      </c>
      <c r="CV39" s="99">
        <v>14.0836960600375</v>
      </c>
      <c r="CW39" s="99">
        <v>14.1491125703565</v>
      </c>
      <c r="CX39" s="99">
        <v>14.214529080675399</v>
      </c>
      <c r="CY39" s="99">
        <v>14.2799455909944</v>
      </c>
      <c r="CZ39" s="99">
        <v>14.345362101313301</v>
      </c>
      <c r="DA39" s="99">
        <v>14.410778611632299</v>
      </c>
      <c r="DB39" s="99">
        <v>14.4761951219512</v>
      </c>
      <c r="DC39" s="99">
        <v>14.5416116322702</v>
      </c>
      <c r="DD39" s="99">
        <v>14.607028142589099</v>
      </c>
      <c r="DE39" s="99">
        <v>14.6724446529081</v>
      </c>
      <c r="DF39" s="99">
        <v>14.737861163227</v>
      </c>
      <c r="DG39" s="99">
        <v>14.803277673546001</v>
      </c>
      <c r="DH39" s="99">
        <v>14.8686941838649</v>
      </c>
      <c r="DI39" s="99">
        <v>14.9341106941839</v>
      </c>
      <c r="DJ39" s="99">
        <v>14.999527204502799</v>
      </c>
      <c r="DK39" s="99">
        <v>15.0649437148218</v>
      </c>
      <c r="DL39" s="99">
        <v>15.1303602251407</v>
      </c>
      <c r="DM39" s="99">
        <v>15.195776735459701</v>
      </c>
      <c r="DN39" s="99">
        <v>15.2611932457786</v>
      </c>
      <c r="DO39" s="99">
        <v>15.3266097560976</v>
      </c>
      <c r="DP39" s="99">
        <v>15.392026266416501</v>
      </c>
      <c r="DQ39" s="99">
        <v>15.457442776735499</v>
      </c>
      <c r="DR39" s="99">
        <v>15.5228592870544</v>
      </c>
      <c r="DS39" s="99">
        <v>15.588275797373401</v>
      </c>
      <c r="DT39" s="99">
        <v>15.6536923076923</v>
      </c>
      <c r="DU39" s="99">
        <v>15.7191088180113</v>
      </c>
      <c r="DV39" s="99">
        <v>15.784525328330201</v>
      </c>
      <c r="DW39" s="99">
        <v>15.849941838649199</v>
      </c>
      <c r="DX39" s="99">
        <v>15.9153583489681</v>
      </c>
      <c r="DY39" s="99">
        <v>15.9807748592871</v>
      </c>
      <c r="DZ39" s="99">
        <v>16.046191369605999</v>
      </c>
      <c r="EA39" s="99">
        <v>16.1116078799249</v>
      </c>
      <c r="EB39" s="99">
        <v>16.177024390243901</v>
      </c>
      <c r="EC39" s="99">
        <v>16.242440900562801</v>
      </c>
      <c r="ED39" s="99">
        <v>16.307857410881802</v>
      </c>
      <c r="EE39" s="99">
        <v>16.373273921200699</v>
      </c>
      <c r="EF39" s="99">
        <v>16.438690431519699</v>
      </c>
      <c r="EG39" s="99">
        <v>16.5041069418386</v>
      </c>
      <c r="EH39" s="99">
        <v>16.5695234521576</v>
      </c>
      <c r="EI39" s="99">
        <v>16.634939962476501</v>
      </c>
      <c r="EJ39" s="99">
        <v>16.700356472795502</v>
      </c>
      <c r="EK39" s="99">
        <v>16.765772983114399</v>
      </c>
      <c r="EL39" s="99">
        <v>16.831189493433399</v>
      </c>
      <c r="EM39" s="99">
        <v>16.8966060037523</v>
      </c>
      <c r="EN39" s="99">
        <v>16.9620225140713</v>
      </c>
      <c r="EO39" s="99">
        <v>17.027439024390201</v>
      </c>
      <c r="EP39" s="99">
        <v>17.092855534709201</v>
      </c>
      <c r="EQ39" s="99">
        <v>17.158272045028099</v>
      </c>
      <c r="ER39" s="99">
        <v>17.223688555347099</v>
      </c>
      <c r="ES39" s="99">
        <v>17.289105065666</v>
      </c>
      <c r="ET39" s="99">
        <v>17.354521575985</v>
      </c>
      <c r="EU39" s="99">
        <v>17.419938086303901</v>
      </c>
      <c r="EV39" s="99">
        <v>17.485354596622901</v>
      </c>
      <c r="EW39" s="99">
        <v>17.550771106941799</v>
      </c>
      <c r="EX39" s="99">
        <v>17.616187617260799</v>
      </c>
      <c r="EY39" s="99">
        <v>17.6816041275797</v>
      </c>
      <c r="EZ39" s="99">
        <v>17.7470206378987</v>
      </c>
      <c r="FA39" s="99">
        <v>17.812437148217601</v>
      </c>
      <c r="FB39" s="99">
        <v>17.877853658536601</v>
      </c>
      <c r="FC39" s="99">
        <v>17.943270168855499</v>
      </c>
      <c r="FD39" s="99">
        <v>18.008686679174499</v>
      </c>
      <c r="FE39" s="99">
        <v>18.0741031894934</v>
      </c>
      <c r="FF39" s="99">
        <v>18.1395196998124</v>
      </c>
      <c r="FG39" s="99">
        <v>18.204936210131301</v>
      </c>
      <c r="FH39" s="99">
        <v>18.270352720450301</v>
      </c>
      <c r="FI39" s="99">
        <v>18.335769230769198</v>
      </c>
      <c r="FJ39" s="99">
        <v>18.401185741088199</v>
      </c>
      <c r="FK39" s="99">
        <v>18.4666022514071</v>
      </c>
      <c r="FL39" s="99">
        <v>18.5320187617261</v>
      </c>
      <c r="FM39" s="99">
        <v>18.597435272045001</v>
      </c>
      <c r="FN39" s="99">
        <v>18.662851782364001</v>
      </c>
      <c r="FO39" s="99">
        <v>18.728268292682898</v>
      </c>
      <c r="FP39" s="99">
        <v>18.793684803001899</v>
      </c>
      <c r="FQ39" s="99">
        <v>18.859101313320799</v>
      </c>
      <c r="FR39" s="99">
        <v>18.9245178236398</v>
      </c>
      <c r="FS39" s="99">
        <v>18.989934333958701</v>
      </c>
      <c r="FT39" s="99">
        <v>19.055350844277701</v>
      </c>
      <c r="FU39" s="99">
        <v>19.120767354596602</v>
      </c>
      <c r="FV39" s="99">
        <v>19.186183864915598</v>
      </c>
      <c r="FW39" s="99">
        <v>19.251600375234499</v>
      </c>
      <c r="FX39" s="99">
        <v>19.3170168855535</v>
      </c>
      <c r="FY39" s="99">
        <v>19.3824333958724</v>
      </c>
      <c r="FZ39" s="99">
        <v>19.447849906191401</v>
      </c>
      <c r="GA39" s="99">
        <v>19.513266416510302</v>
      </c>
      <c r="GB39" s="99">
        <v>19.578682926829298</v>
      </c>
      <c r="GC39" s="99">
        <v>19.644099437148199</v>
      </c>
      <c r="GD39" s="99">
        <v>19.709515947467199</v>
      </c>
      <c r="GE39" s="99">
        <v>19.7749324577861</v>
      </c>
      <c r="GF39" s="99">
        <v>19.840348968105101</v>
      </c>
      <c r="GG39" s="99">
        <v>19.905765478424001</v>
      </c>
      <c r="GH39" s="99">
        <v>19.971181988743002</v>
      </c>
      <c r="GI39" s="99">
        <v>20.036598499061899</v>
      </c>
      <c r="GJ39" s="99">
        <v>20.102015009380899</v>
      </c>
      <c r="GK39" s="99">
        <v>20.1674315196998</v>
      </c>
      <c r="GL39" s="99">
        <v>20.232848030018801</v>
      </c>
      <c r="GM39" s="99">
        <v>20.298264540337701</v>
      </c>
      <c r="GN39" s="99">
        <v>20.363681050656702</v>
      </c>
      <c r="GO39" s="99">
        <v>20.429097560975599</v>
      </c>
      <c r="GP39" s="99">
        <v>20.494514071294599</v>
      </c>
      <c r="GQ39" s="99">
        <v>20.5599305816135</v>
      </c>
      <c r="GR39" s="99">
        <v>20.6253470919325</v>
      </c>
      <c r="GS39" s="99">
        <v>20.690763602251401</v>
      </c>
      <c r="GT39" s="99">
        <v>20.756180112570402</v>
      </c>
      <c r="GU39" s="99">
        <v>20.821596622889299</v>
      </c>
      <c r="GV39" s="99">
        <v>20.887013133208299</v>
      </c>
      <c r="GW39" s="99">
        <v>20.9524296435272</v>
      </c>
      <c r="GX39" s="99">
        <v>21.0178461538462</v>
      </c>
      <c r="GY39" s="99">
        <v>21.083262664165101</v>
      </c>
      <c r="GZ39" s="99">
        <v>21.148679174484101</v>
      </c>
      <c r="HA39" s="99">
        <v>21.214095684802999</v>
      </c>
      <c r="HB39" s="99">
        <v>21.279512195121999</v>
      </c>
      <c r="HC39" s="99">
        <v>21.3449287054409</v>
      </c>
      <c r="HD39" s="99">
        <v>21.4103452157599</v>
      </c>
      <c r="HE39" s="99">
        <v>21.475761726078801</v>
      </c>
      <c r="HF39" s="99">
        <v>21.541178236397801</v>
      </c>
      <c r="HG39" s="99">
        <v>21.606594746716699</v>
      </c>
      <c r="HH39" s="99">
        <v>21.672011257035699</v>
      </c>
      <c r="HI39" s="99">
        <v>21.7374277673546</v>
      </c>
      <c r="HJ39" s="99">
        <v>21.8028442776736</v>
      </c>
      <c r="HK39" s="99">
        <v>21.868260787992501</v>
      </c>
      <c r="HL39" s="99">
        <v>21.933677298311501</v>
      </c>
      <c r="HM39" s="99">
        <v>21.999093808630398</v>
      </c>
      <c r="HN39" s="99">
        <v>22.064510318949399</v>
      </c>
      <c r="HO39" s="99">
        <v>22.1299268292683</v>
      </c>
      <c r="HP39" s="99">
        <v>22.1953433395873</v>
      </c>
      <c r="HQ39" s="99">
        <v>22.260759849906201</v>
      </c>
      <c r="HR39" s="99">
        <v>22.326176360225201</v>
      </c>
      <c r="HS39" s="99">
        <v>22.391592870544098</v>
      </c>
      <c r="HT39" s="99">
        <v>22.457009380863099</v>
      </c>
      <c r="HU39" s="99">
        <v>22.522425891181999</v>
      </c>
      <c r="HV39" s="99">
        <v>22.5878424015009</v>
      </c>
      <c r="HW39" s="99">
        <v>22.653258911819901</v>
      </c>
      <c r="HX39" s="99">
        <v>22.718675422138801</v>
      </c>
      <c r="HY39" s="99">
        <v>22.784091932457802</v>
      </c>
      <c r="HZ39" s="99">
        <v>22.849508442776699</v>
      </c>
      <c r="IA39" s="99">
        <v>22.914924953095699</v>
      </c>
      <c r="IB39" s="99">
        <v>22.9803414634146</v>
      </c>
      <c r="IC39" s="99">
        <v>23.0457579737336</v>
      </c>
      <c r="ID39" s="99">
        <v>23.111174484052501</v>
      </c>
      <c r="IE39" s="99">
        <v>23.176590994371502</v>
      </c>
      <c r="IF39" s="99">
        <v>23.242007504690399</v>
      </c>
      <c r="IG39" s="99">
        <v>23.307424015009399</v>
      </c>
      <c r="IH39" s="99">
        <v>23.3728405253283</v>
      </c>
      <c r="II39" s="99">
        <v>23.4382570356473</v>
      </c>
      <c r="IJ39" s="99">
        <v>23.503673545966201</v>
      </c>
      <c r="IK39" s="99">
        <v>23.569090056285201</v>
      </c>
      <c r="IL39" s="99">
        <v>23.634506566604099</v>
      </c>
      <c r="IM39" s="99">
        <v>23.699923076923099</v>
      </c>
      <c r="IN39" s="99">
        <v>23.765339587242</v>
      </c>
      <c r="IO39" s="99">
        <v>23.830756097561</v>
      </c>
      <c r="IP39" s="99">
        <v>23.896172607879901</v>
      </c>
      <c r="IQ39" s="99">
        <v>23.961589118198901</v>
      </c>
      <c r="IR39" s="99">
        <v>24.027005628517799</v>
      </c>
      <c r="IS39" s="99">
        <v>24.092422138836799</v>
      </c>
      <c r="IT39" s="99">
        <v>24.1578386491557</v>
      </c>
      <c r="IU39" s="99">
        <v>24.2232551594747</v>
      </c>
      <c r="IV39" s="99">
        <v>24.288671669793601</v>
      </c>
      <c r="IW39" s="99">
        <v>24.354088180112601</v>
      </c>
      <c r="IX39" s="99">
        <v>24.419504690431499</v>
      </c>
      <c r="IY39" s="99">
        <v>24.484921200750499</v>
      </c>
      <c r="IZ39" s="99">
        <v>24.5503377110694</v>
      </c>
      <c r="JA39" s="99">
        <v>24.6157542213884</v>
      </c>
      <c r="JB39" s="99">
        <v>24.681170731707301</v>
      </c>
      <c r="JC39" s="99">
        <v>24.746587242026301</v>
      </c>
      <c r="JD39" s="99">
        <v>24.812003752345198</v>
      </c>
      <c r="JE39" s="99">
        <v>24.877420262664199</v>
      </c>
      <c r="JF39" s="99">
        <v>24.9428367729831</v>
      </c>
      <c r="JG39" s="99">
        <v>25.0082532833021</v>
      </c>
      <c r="JH39" s="99">
        <v>25.073669793621001</v>
      </c>
      <c r="JI39" s="99">
        <v>25.139086303940001</v>
      </c>
      <c r="JJ39" s="99">
        <v>25.204502814258898</v>
      </c>
      <c r="JK39" s="99">
        <v>25.269919324577899</v>
      </c>
      <c r="JL39" s="99">
        <v>25.335335834896799</v>
      </c>
      <c r="JM39" s="99">
        <v>25.4007523452158</v>
      </c>
      <c r="JN39" s="99">
        <v>25.466168855534701</v>
      </c>
      <c r="JO39" s="99">
        <v>25.531585365853701</v>
      </c>
      <c r="JP39" s="99">
        <v>25.597001876172602</v>
      </c>
      <c r="JQ39" s="99">
        <v>25.662418386491598</v>
      </c>
      <c r="JR39" s="99">
        <v>25.727834896810499</v>
      </c>
      <c r="JS39" s="99">
        <v>25.7932514071295</v>
      </c>
      <c r="JT39" s="99">
        <v>25.8586679174484</v>
      </c>
      <c r="JU39" s="99">
        <v>25.924084427767401</v>
      </c>
      <c r="JV39" s="99">
        <v>25.989500938086302</v>
      </c>
      <c r="JW39" s="99">
        <v>26.054917448405298</v>
      </c>
      <c r="JX39" s="99">
        <v>26.120333958724199</v>
      </c>
      <c r="JY39" s="99">
        <v>26.185750469043199</v>
      </c>
      <c r="JZ39" s="99">
        <v>26.2511669793621</v>
      </c>
      <c r="KA39" s="99">
        <v>26.316583489681101</v>
      </c>
      <c r="KB39" s="99">
        <v>26.382000000000001</v>
      </c>
      <c r="KC39" s="99">
        <v>26.447416510319002</v>
      </c>
      <c r="KD39" s="99">
        <v>26.512833020637899</v>
      </c>
      <c r="KE39" s="99">
        <v>26.578249530956899</v>
      </c>
      <c r="KF39" s="99">
        <v>26.6436660412758</v>
      </c>
      <c r="KG39" s="99">
        <v>26.7090825515948</v>
      </c>
      <c r="KH39" s="99">
        <v>26.774499061913701</v>
      </c>
      <c r="KI39" s="99">
        <v>26.839915572232702</v>
      </c>
      <c r="KJ39" s="99">
        <v>26.905332082551599</v>
      </c>
      <c r="KK39" s="99">
        <v>26.970748592870599</v>
      </c>
      <c r="KL39" s="99">
        <v>27.0361651031895</v>
      </c>
      <c r="KM39" s="99">
        <v>27.1015816135085</v>
      </c>
      <c r="KN39" s="99">
        <v>27.166998123827401</v>
      </c>
      <c r="KO39" s="99">
        <v>27.232414634146402</v>
      </c>
      <c r="KP39" s="99">
        <v>27.297831144465299</v>
      </c>
      <c r="KQ39" s="99">
        <v>27.3632476547842</v>
      </c>
      <c r="KR39" s="99">
        <v>27.4286641651032</v>
      </c>
      <c r="KS39" s="99">
        <v>27.4940806754222</v>
      </c>
      <c r="KT39" s="99">
        <v>27.559497185741101</v>
      </c>
      <c r="KU39" s="99">
        <v>27.624913696059998</v>
      </c>
      <c r="KV39" s="99">
        <v>27.690330206378999</v>
      </c>
      <c r="KW39" s="99">
        <v>27.7557467166979</v>
      </c>
      <c r="KX39" s="99">
        <v>27.8211632270169</v>
      </c>
      <c r="KY39" s="99">
        <v>27.886579737335801</v>
      </c>
      <c r="KZ39" s="99">
        <v>27.951996247654801</v>
      </c>
      <c r="LA39" s="99">
        <v>28.017412757973698</v>
      </c>
      <c r="LB39" s="99">
        <v>28.082829268292699</v>
      </c>
      <c r="LC39" s="99">
        <v>28.148245778611599</v>
      </c>
      <c r="LD39" s="99">
        <v>28.2136622889306</v>
      </c>
      <c r="LE39" s="99">
        <v>28.279078799249501</v>
      </c>
      <c r="LF39" s="99">
        <v>28.344495309568501</v>
      </c>
      <c r="LG39" s="99">
        <v>28.409911819887402</v>
      </c>
      <c r="LH39" s="99">
        <v>28.475328330206398</v>
      </c>
      <c r="LI39" s="99">
        <v>28.540744840525299</v>
      </c>
      <c r="LJ39" s="99">
        <v>28.6061613508443</v>
      </c>
      <c r="LK39" s="99">
        <v>28.6715778611632</v>
      </c>
      <c r="LL39" s="99">
        <v>28.736994371482201</v>
      </c>
      <c r="LM39" s="99">
        <v>28.802410881801102</v>
      </c>
      <c r="LN39" s="99">
        <v>28.867827392120098</v>
      </c>
      <c r="LO39" s="99">
        <v>28.933243902438999</v>
      </c>
      <c r="LP39" s="99">
        <v>28.998660412757999</v>
      </c>
      <c r="LQ39" s="99">
        <v>29.0640769230769</v>
      </c>
      <c r="LR39" s="99">
        <v>29.129493433395901</v>
      </c>
      <c r="LS39" s="99">
        <v>29.194909943714801</v>
      </c>
      <c r="LT39" s="99">
        <v>29.260326454033802</v>
      </c>
      <c r="LU39" s="99">
        <v>29.325742964352699</v>
      </c>
      <c r="LV39" s="99">
        <v>29.391159474671699</v>
      </c>
      <c r="LW39" s="99">
        <v>29.4565759849906</v>
      </c>
      <c r="LX39" s="99">
        <v>29.5219924953096</v>
      </c>
      <c r="LY39" s="99">
        <v>29.587409005628501</v>
      </c>
      <c r="LZ39" s="99">
        <v>29.652825515947502</v>
      </c>
      <c r="MA39" s="99">
        <v>29.718242026266399</v>
      </c>
      <c r="MB39" s="99">
        <v>29.783658536585399</v>
      </c>
      <c r="MC39" s="99">
        <v>29.8490750469043</v>
      </c>
      <c r="MD39" s="99">
        <v>29.9144915572233</v>
      </c>
      <c r="ME39" s="99">
        <v>29.979908067542201</v>
      </c>
      <c r="MF39" s="99">
        <v>30.045324577861201</v>
      </c>
      <c r="MG39" s="99">
        <v>30.110741088180099</v>
      </c>
      <c r="MH39" s="99">
        <v>30.176157598499099</v>
      </c>
      <c r="MI39" s="99">
        <v>30.241574108818</v>
      </c>
      <c r="MJ39" s="99">
        <v>30.306990619137</v>
      </c>
      <c r="MK39" s="99">
        <v>30.372407129455901</v>
      </c>
      <c r="ML39" s="99">
        <v>30.437823639774901</v>
      </c>
      <c r="MM39" s="99">
        <v>30.503240150093799</v>
      </c>
      <c r="MN39" s="99">
        <v>30.568656660412799</v>
      </c>
      <c r="MO39" s="99">
        <v>30.6340731707317</v>
      </c>
      <c r="MP39" s="99">
        <v>30.6994896810507</v>
      </c>
      <c r="MQ39" s="99">
        <v>30.764906191369601</v>
      </c>
      <c r="MR39" s="99">
        <v>30.830322701688601</v>
      </c>
      <c r="MS39" s="99">
        <v>30.895739212007499</v>
      </c>
      <c r="MT39" s="99">
        <v>30.961155722326499</v>
      </c>
      <c r="MU39" s="99">
        <v>31.0265722326454</v>
      </c>
      <c r="MV39" s="99">
        <v>31.0919887429644</v>
      </c>
      <c r="MW39" s="99">
        <v>31.157405253283301</v>
      </c>
      <c r="MX39" s="99">
        <v>31.222821763602301</v>
      </c>
      <c r="MY39" s="99">
        <v>31.288238273921198</v>
      </c>
      <c r="MZ39" s="99">
        <v>31.353654784240199</v>
      </c>
      <c r="NA39" s="99">
        <v>31.4190712945591</v>
      </c>
      <c r="NB39" s="99">
        <v>31.4844878048781</v>
      </c>
      <c r="NC39" s="99">
        <v>31.549904315197001</v>
      </c>
      <c r="ND39" s="99">
        <v>31.615320825516001</v>
      </c>
      <c r="NE39" s="99">
        <v>31.680737335834898</v>
      </c>
      <c r="NF39" s="99">
        <v>31.746153846153899</v>
      </c>
      <c r="NG39" s="99">
        <v>31.811570356472799</v>
      </c>
      <c r="NH39" s="99">
        <v>31.8769868667918</v>
      </c>
      <c r="NI39" s="99">
        <v>31.942403377110701</v>
      </c>
      <c r="NJ39" s="99">
        <v>32.007819887429697</v>
      </c>
      <c r="NK39" s="99">
        <v>32.073236397748602</v>
      </c>
      <c r="NL39" s="99">
        <v>32.138652908067598</v>
      </c>
      <c r="NM39" s="99">
        <v>32.204069418386503</v>
      </c>
      <c r="NN39" s="99">
        <v>32.2694859287054</v>
      </c>
      <c r="NO39" s="99">
        <v>32.334902439024397</v>
      </c>
      <c r="NP39" s="99">
        <v>32.400318949343401</v>
      </c>
      <c r="NQ39" s="99">
        <v>32.465735459662298</v>
      </c>
      <c r="NR39" s="99">
        <v>32.531151969981202</v>
      </c>
      <c r="NS39" s="99">
        <v>32.596568480300199</v>
      </c>
      <c r="NT39" s="99">
        <v>32.661984990619104</v>
      </c>
      <c r="NU39" s="99">
        <v>32.7274015009381</v>
      </c>
      <c r="NV39" s="99">
        <v>32.792818011256998</v>
      </c>
      <c r="NW39" s="99">
        <v>32.858234521576001</v>
      </c>
      <c r="NX39" s="99">
        <v>32.923651031894899</v>
      </c>
      <c r="NY39" s="99">
        <v>32.989067542213903</v>
      </c>
      <c r="NZ39" s="99">
        <v>33.0544840525328</v>
      </c>
      <c r="OA39" s="99">
        <v>33.119900562851797</v>
      </c>
      <c r="OB39" s="99">
        <v>33.185317073170701</v>
      </c>
      <c r="OC39" s="99">
        <v>33.250733583489698</v>
      </c>
      <c r="OD39" s="99">
        <v>33.316150093808602</v>
      </c>
      <c r="OE39" s="99">
        <v>33.381566604127599</v>
      </c>
      <c r="OF39" s="99">
        <v>33.446983114446503</v>
      </c>
      <c r="OG39" s="99">
        <v>33.5123996247655</v>
      </c>
      <c r="OH39" s="99">
        <v>33.577816135084397</v>
      </c>
      <c r="OI39" s="99">
        <v>33.643232645403401</v>
      </c>
      <c r="OJ39" s="99">
        <v>33.708649155722298</v>
      </c>
      <c r="OK39" s="99">
        <v>33.774065666041302</v>
      </c>
      <c r="OL39" s="99">
        <v>33.8394821763602</v>
      </c>
      <c r="OM39" s="99">
        <v>33.904898686679203</v>
      </c>
      <c r="ON39" s="99">
        <v>33.970315196998101</v>
      </c>
      <c r="OO39" s="99">
        <v>34.035731707317098</v>
      </c>
      <c r="OP39" s="99">
        <v>34.101148217636002</v>
      </c>
      <c r="OQ39" s="99">
        <v>34.166564727954999</v>
      </c>
      <c r="OR39" s="99">
        <v>34.231981238273903</v>
      </c>
      <c r="OS39" s="99">
        <v>34.2973977485929</v>
      </c>
      <c r="OT39" s="99">
        <v>34.362814258911797</v>
      </c>
      <c r="OU39" s="99">
        <v>34.428230769230801</v>
      </c>
      <c r="OV39" s="99">
        <v>34.493647279549698</v>
      </c>
      <c r="OW39" s="99">
        <v>34.559063789868702</v>
      </c>
      <c r="OX39" s="99">
        <v>34.624480300187599</v>
      </c>
      <c r="OY39" s="99">
        <v>34.689896810506603</v>
      </c>
      <c r="OZ39" s="99">
        <v>34.755313320825501</v>
      </c>
      <c r="PA39" s="99">
        <v>34.820729831144497</v>
      </c>
      <c r="PB39" s="99">
        <v>34.886146341463402</v>
      </c>
      <c r="PC39" s="99">
        <v>34.951562851782398</v>
      </c>
      <c r="PD39" s="99">
        <v>35.016979362101303</v>
      </c>
      <c r="PE39" s="99">
        <v>35.0823958724203</v>
      </c>
      <c r="PF39" s="99">
        <v>35.147812382739197</v>
      </c>
      <c r="PG39" s="99">
        <v>35.213228893058201</v>
      </c>
      <c r="PH39" s="99">
        <v>35.278645403377098</v>
      </c>
      <c r="PI39" s="99">
        <v>35.344061913696102</v>
      </c>
      <c r="PJ39" s="99">
        <v>35.409478424014999</v>
      </c>
      <c r="PK39" s="99">
        <v>35.474894934334003</v>
      </c>
      <c r="PL39" s="99">
        <v>35.5403114446529</v>
      </c>
      <c r="PM39" s="99">
        <v>35.605727954971897</v>
      </c>
      <c r="PN39" s="99">
        <v>35.671144465290801</v>
      </c>
      <c r="PO39" s="99">
        <v>35.736560975609798</v>
      </c>
      <c r="PP39" s="99">
        <v>35.801977485928703</v>
      </c>
      <c r="PQ39" s="99">
        <v>35.867393996247699</v>
      </c>
      <c r="PR39" s="99">
        <v>35.932810506566597</v>
      </c>
      <c r="PS39" s="99">
        <v>35.9982270168856</v>
      </c>
      <c r="PT39" s="99">
        <v>36.063643527204498</v>
      </c>
      <c r="PU39" s="99">
        <v>36.129060037523502</v>
      </c>
      <c r="PV39" s="99">
        <v>36.194476547842399</v>
      </c>
      <c r="PW39" s="99">
        <v>36.259893058161403</v>
      </c>
      <c r="PX39" s="99">
        <v>36.3253095684803</v>
      </c>
      <c r="PY39" s="99">
        <v>36.390726078799297</v>
      </c>
      <c r="PZ39" s="99">
        <v>36.456142589118201</v>
      </c>
      <c r="QA39" s="99">
        <v>36.521559099437198</v>
      </c>
      <c r="QB39" s="99">
        <v>36.586975609756102</v>
      </c>
      <c r="QC39" s="99">
        <v>36.652392120075099</v>
      </c>
      <c r="QD39" s="99">
        <v>36.717808630394003</v>
      </c>
      <c r="QE39" s="99">
        <v>36.783225140713</v>
      </c>
      <c r="QF39" s="99">
        <v>36.848641651031897</v>
      </c>
      <c r="QG39" s="99">
        <v>36.914058161350901</v>
      </c>
      <c r="QH39" s="99">
        <v>36.979474671669799</v>
      </c>
      <c r="QI39" s="99">
        <v>37.044891181988802</v>
      </c>
      <c r="QJ39" s="99">
        <v>37.1103076923077</v>
      </c>
      <c r="QK39" s="99">
        <v>37.175724202626597</v>
      </c>
      <c r="QL39" s="99">
        <v>37.241140712945601</v>
      </c>
      <c r="QM39" s="99">
        <v>37.306557223264598</v>
      </c>
      <c r="QN39" s="99">
        <v>37.371973733583502</v>
      </c>
      <c r="QO39" s="99">
        <v>37.437390243902399</v>
      </c>
      <c r="QP39" s="99">
        <v>37.502806754221403</v>
      </c>
      <c r="QQ39" s="99">
        <v>37.5682232645403</v>
      </c>
      <c r="QR39" s="99">
        <v>37.633639774859297</v>
      </c>
      <c r="QS39" s="99">
        <v>37.699056285178202</v>
      </c>
      <c r="QT39" s="99">
        <v>37.764472795497198</v>
      </c>
      <c r="QU39" s="99">
        <v>37.829889305816103</v>
      </c>
      <c r="QV39" s="99">
        <v>37.8953058161351</v>
      </c>
      <c r="QW39" s="99">
        <v>37.960722326453997</v>
      </c>
      <c r="QX39" s="99">
        <v>38.026138836773001</v>
      </c>
      <c r="QY39" s="99">
        <v>38.091555347091898</v>
      </c>
      <c r="QZ39" s="99">
        <v>38.156971857410902</v>
      </c>
      <c r="RA39" s="99">
        <v>38.222388367729799</v>
      </c>
      <c r="RB39" s="99">
        <v>38.287804878048803</v>
      </c>
      <c r="RC39" s="99">
        <v>38.3532213883677</v>
      </c>
      <c r="RD39" s="99">
        <v>38.418637898686697</v>
      </c>
      <c r="RE39" s="99">
        <v>38.484054409005601</v>
      </c>
      <c r="RF39" s="99">
        <v>38.549470919324598</v>
      </c>
      <c r="RG39" s="99">
        <v>38.614887429643503</v>
      </c>
      <c r="RH39" s="99">
        <v>38.680303939962499</v>
      </c>
      <c r="RI39" s="99">
        <v>38.745720450281397</v>
      </c>
      <c r="RJ39" s="99">
        <v>38.8111369606004</v>
      </c>
      <c r="RK39" s="99">
        <v>38.876553470919298</v>
      </c>
      <c r="RL39" s="99">
        <v>38.941969981238302</v>
      </c>
      <c r="RM39" s="99">
        <v>39.007386491557199</v>
      </c>
      <c r="RN39" s="99">
        <v>39.072803001876203</v>
      </c>
      <c r="RO39" s="99">
        <v>39.1382195121951</v>
      </c>
      <c r="RP39" s="99">
        <v>39.203636022514097</v>
      </c>
      <c r="RQ39" s="99">
        <v>39.269052532833001</v>
      </c>
      <c r="RR39" s="99">
        <v>39.334469043151998</v>
      </c>
      <c r="RS39" s="99">
        <v>39.399885553470902</v>
      </c>
      <c r="RT39" s="99">
        <v>39.465302063789899</v>
      </c>
      <c r="RU39" s="99">
        <v>39.530718574108803</v>
      </c>
      <c r="RV39" s="99">
        <v>39.5961350844278</v>
      </c>
      <c r="RW39" s="99">
        <v>39.661551594746697</v>
      </c>
      <c r="RX39" s="99">
        <v>39.726968105065701</v>
      </c>
      <c r="RY39" s="99">
        <v>39.792384615384599</v>
      </c>
      <c r="RZ39" s="99">
        <v>39.857801125703602</v>
      </c>
      <c r="SA39" s="99">
        <v>39.9232176360225</v>
      </c>
      <c r="SB39" s="99">
        <v>39.988634146341496</v>
      </c>
      <c r="SC39" s="99">
        <v>40.054050656660401</v>
      </c>
      <c r="SD39" s="99">
        <v>40.119467166979398</v>
      </c>
      <c r="SE39" s="99">
        <v>40.184883677298302</v>
      </c>
      <c r="SF39" s="99">
        <v>40.250300187617299</v>
      </c>
      <c r="SG39" s="99">
        <v>40.315716697936203</v>
      </c>
      <c r="SH39" s="99">
        <v>40.3811332082552</v>
      </c>
      <c r="SI39" s="99">
        <v>40.446549718574097</v>
      </c>
      <c r="SJ39" s="99">
        <v>40.511966228893101</v>
      </c>
      <c r="SK39" s="99">
        <v>40.577382739211998</v>
      </c>
      <c r="SL39" s="99">
        <v>40.642799249531002</v>
      </c>
      <c r="SM39" s="99">
        <v>40.708215759849899</v>
      </c>
      <c r="SN39" s="99">
        <v>40.773632270168903</v>
      </c>
      <c r="SO39" s="99">
        <v>40.839048780487801</v>
      </c>
      <c r="SP39" s="99">
        <v>40.904465290806797</v>
      </c>
      <c r="SQ39" s="99">
        <v>40.969881801125702</v>
      </c>
      <c r="SR39" s="99">
        <v>41.035298311444699</v>
      </c>
      <c r="SS39" s="99">
        <v>41.100714821763603</v>
      </c>
      <c r="ST39" s="99">
        <v>41.1661313320826</v>
      </c>
      <c r="SU39" s="99">
        <v>41.231547842401497</v>
      </c>
      <c r="SV39" s="99">
        <v>41.296964352720501</v>
      </c>
      <c r="SW39" s="99">
        <v>41.362380863039398</v>
      </c>
      <c r="SX39" s="99">
        <v>41.427797373358402</v>
      </c>
      <c r="SY39" s="99">
        <v>41.493213883677299</v>
      </c>
      <c r="SZ39" s="99">
        <v>41.558630393996303</v>
      </c>
      <c r="TA39" s="99">
        <v>41.6240469043152</v>
      </c>
      <c r="TB39" s="99">
        <v>41.689463414634197</v>
      </c>
      <c r="TC39" s="99">
        <v>41.754879924953102</v>
      </c>
      <c r="TD39" s="99">
        <v>41.820296435272098</v>
      </c>
      <c r="TE39" s="99">
        <v>41.885712945591003</v>
      </c>
      <c r="TF39" s="99">
        <v>41.951129455909999</v>
      </c>
      <c r="TG39" s="99">
        <v>42.016545966228897</v>
      </c>
      <c r="TH39" s="99">
        <v>42.081962476547901</v>
      </c>
      <c r="TI39" s="99">
        <v>42.147378986866798</v>
      </c>
      <c r="TJ39" s="99">
        <v>42.212795497185702</v>
      </c>
      <c r="TK39" s="99">
        <v>42.278212007504699</v>
      </c>
      <c r="TL39" s="99">
        <v>42.343628517823603</v>
      </c>
      <c r="TM39" s="99">
        <v>42.4090450281426</v>
      </c>
      <c r="TN39" s="99">
        <v>42.474461538461597</v>
      </c>
      <c r="TO39" s="99">
        <v>42.539878048780501</v>
      </c>
      <c r="TP39" s="99">
        <v>42.605294559099399</v>
      </c>
      <c r="TQ39" s="99">
        <v>42.670711069418402</v>
      </c>
      <c r="TR39" s="99">
        <v>42.7361275797373</v>
      </c>
      <c r="TS39" s="99">
        <v>42.801544090056296</v>
      </c>
      <c r="TT39" s="99">
        <v>42.866960600375201</v>
      </c>
      <c r="TU39" s="99">
        <v>42.932377110694198</v>
      </c>
      <c r="TV39" s="99">
        <v>42.997793621013102</v>
      </c>
      <c r="TW39" s="99">
        <v>43.063210131332099</v>
      </c>
      <c r="TX39" s="99">
        <v>43.128626641651003</v>
      </c>
      <c r="TY39" s="99">
        <v>43.19404315197</v>
      </c>
      <c r="TZ39" s="99">
        <v>43.259459662288897</v>
      </c>
      <c r="UA39" s="99">
        <v>43.324876172607901</v>
      </c>
      <c r="UB39" s="99">
        <v>43.390292682926798</v>
      </c>
      <c r="UC39" s="99">
        <v>43.455709193245802</v>
      </c>
      <c r="UD39" s="99">
        <v>43.521125703564699</v>
      </c>
      <c r="UE39" s="99">
        <v>43.586542213883703</v>
      </c>
      <c r="UF39" s="99">
        <v>43.651958724202601</v>
      </c>
      <c r="UG39" s="99">
        <v>43.717375234521597</v>
      </c>
      <c r="UH39" s="99">
        <v>43.782791744840502</v>
      </c>
      <c r="UI39" s="99">
        <v>43.848208255159498</v>
      </c>
      <c r="UJ39" s="99">
        <v>43.913624765478403</v>
      </c>
      <c r="UK39" s="99">
        <v>43.9790412757974</v>
      </c>
      <c r="UL39" s="99">
        <v>44.044457786116297</v>
      </c>
      <c r="UM39" s="99">
        <v>44.109874296435301</v>
      </c>
      <c r="UN39" s="99">
        <v>44.175290806754198</v>
      </c>
      <c r="UO39" s="99">
        <v>44.240707317073202</v>
      </c>
      <c r="UP39" s="99">
        <v>44.306123827392099</v>
      </c>
      <c r="UQ39" s="99">
        <v>44.371540337711103</v>
      </c>
      <c r="UR39" s="99">
        <v>44.43695684803</v>
      </c>
      <c r="US39" s="99">
        <v>44.502373358348997</v>
      </c>
      <c r="UT39" s="99">
        <v>44.567789868667901</v>
      </c>
    </row>
    <row r="40" spans="1:566" x14ac:dyDescent="0.2">
      <c r="A40" s="89">
        <v>17</v>
      </c>
      <c r="B40" s="90">
        <v>7.59</v>
      </c>
      <c r="C40" s="90">
        <v>7.66</v>
      </c>
      <c r="D40" s="90">
        <v>7.72</v>
      </c>
      <c r="E40" s="90">
        <v>7.79</v>
      </c>
      <c r="F40" s="90">
        <v>7.85</v>
      </c>
      <c r="G40" s="90">
        <v>7.92</v>
      </c>
      <c r="H40" s="90">
        <v>7.98</v>
      </c>
      <c r="I40" s="90">
        <v>8.0500000000000007</v>
      </c>
      <c r="J40" s="90">
        <v>8.11</v>
      </c>
      <c r="K40" s="90">
        <v>8.17</v>
      </c>
      <c r="L40" s="90">
        <v>8.24</v>
      </c>
      <c r="M40" s="90">
        <v>8.3000000000000007</v>
      </c>
      <c r="N40" s="90">
        <v>8.3699999999999992</v>
      </c>
      <c r="O40" s="90">
        <v>8.43</v>
      </c>
      <c r="P40" s="90">
        <v>8.5</v>
      </c>
      <c r="Q40" s="90">
        <v>8.56</v>
      </c>
      <c r="R40" s="90">
        <v>8.6300000000000008</v>
      </c>
      <c r="S40" s="90">
        <v>8.69</v>
      </c>
      <c r="T40" s="90">
        <v>8.76</v>
      </c>
      <c r="U40" s="91">
        <v>8.82</v>
      </c>
      <c r="V40" s="90">
        <v>8.89</v>
      </c>
      <c r="W40" s="90">
        <v>8.9499999999999993</v>
      </c>
      <c r="X40" s="90">
        <v>9.02</v>
      </c>
      <c r="Y40" s="90">
        <v>9.08</v>
      </c>
      <c r="Z40" s="90">
        <v>9.15</v>
      </c>
      <c r="AA40" s="90">
        <v>9.2100000000000009</v>
      </c>
      <c r="AB40" s="90">
        <v>9.2799999999999994</v>
      </c>
      <c r="AC40" s="90">
        <v>9.34</v>
      </c>
      <c r="AD40" s="90">
        <v>9.41</v>
      </c>
      <c r="AE40" s="90">
        <v>9.4700000000000006</v>
      </c>
      <c r="AF40" s="90">
        <v>9.5399999999999991</v>
      </c>
      <c r="AG40" s="90">
        <v>9.6</v>
      </c>
      <c r="AH40" s="90">
        <v>9.66</v>
      </c>
      <c r="AI40" s="90">
        <v>9.73</v>
      </c>
      <c r="AJ40" s="90">
        <v>9.7899999999999991</v>
      </c>
      <c r="AK40" s="90">
        <v>9.86</v>
      </c>
      <c r="AL40" s="90">
        <v>9.92</v>
      </c>
      <c r="AM40" s="90">
        <v>9.99</v>
      </c>
      <c r="AN40" s="90">
        <v>10.050000000000001</v>
      </c>
      <c r="AO40" s="91">
        <v>10.119999999999999</v>
      </c>
      <c r="AP40" s="90">
        <v>10.182538461538501</v>
      </c>
      <c r="AQ40" s="90">
        <v>10.247296435272</v>
      </c>
      <c r="AR40" s="90">
        <v>10.312054409005601</v>
      </c>
      <c r="AS40" s="90">
        <v>10.3768123827392</v>
      </c>
      <c r="AT40" s="90">
        <v>10.4415703564728</v>
      </c>
      <c r="AU40" s="90">
        <v>10.506328330206401</v>
      </c>
      <c r="AV40" s="90">
        <v>10.57108630394</v>
      </c>
      <c r="AW40" s="90">
        <v>10.635844277673501</v>
      </c>
      <c r="AX40" s="90">
        <v>10.7006022514071</v>
      </c>
      <c r="AY40" s="90">
        <v>10.7653602251407</v>
      </c>
      <c r="AZ40" s="90">
        <v>10.830118198874301</v>
      </c>
      <c r="BA40" s="90">
        <v>10.8948761726079</v>
      </c>
      <c r="BB40" s="90">
        <v>10.9596341463415</v>
      </c>
      <c r="BC40" s="90">
        <v>11.024392120074999</v>
      </c>
      <c r="BD40" s="90">
        <v>11.0891500938086</v>
      </c>
      <c r="BE40" s="90">
        <v>11.153908067542201</v>
      </c>
      <c r="BF40" s="90">
        <v>11.218666041275799</v>
      </c>
      <c r="BG40" s="90">
        <v>11.2834240150094</v>
      </c>
      <c r="BH40" s="90">
        <v>11.348181988743001</v>
      </c>
      <c r="BI40" s="91">
        <v>11.4129399624765</v>
      </c>
      <c r="BJ40" s="90">
        <v>11.477697936210101</v>
      </c>
      <c r="BK40" s="99">
        <v>11.542455909943699</v>
      </c>
      <c r="BL40" s="99">
        <v>11.6072138836773</v>
      </c>
      <c r="BM40" s="99">
        <v>11.671971857410901</v>
      </c>
      <c r="BN40" s="99">
        <v>11.736729831144499</v>
      </c>
      <c r="BO40" s="99">
        <v>11.8014878048781</v>
      </c>
      <c r="BP40" s="99">
        <v>11.866245778611599</v>
      </c>
      <c r="BQ40" s="99">
        <v>11.9310037523452</v>
      </c>
      <c r="BR40" s="99">
        <v>11.995761726078801</v>
      </c>
      <c r="BS40" s="99">
        <v>12.060519699812399</v>
      </c>
      <c r="BT40" s="99">
        <v>12.125277673546</v>
      </c>
      <c r="BU40" s="99">
        <v>12.190035647279601</v>
      </c>
      <c r="BV40" s="99">
        <v>12.2547936210131</v>
      </c>
      <c r="BW40" s="99">
        <v>12.3195515947467</v>
      </c>
      <c r="BX40" s="99">
        <v>12.384309568480299</v>
      </c>
      <c r="BY40" s="99">
        <v>12.4490675422139</v>
      </c>
      <c r="BZ40" s="99">
        <v>12.5138255159475</v>
      </c>
      <c r="CA40" s="99">
        <v>12.578583489681099</v>
      </c>
      <c r="CB40" s="99">
        <v>12.6433414634146</v>
      </c>
      <c r="CC40" s="99">
        <v>12.708099437148199</v>
      </c>
      <c r="CD40" s="99">
        <v>12.7728574108818</v>
      </c>
      <c r="CE40" s="99">
        <v>12.8376153846154</v>
      </c>
      <c r="CF40" s="99">
        <v>12.902373358348999</v>
      </c>
      <c r="CG40" s="99">
        <v>12.9671313320826</v>
      </c>
      <c r="CH40" s="99">
        <v>13.031889305816099</v>
      </c>
      <c r="CI40" s="99">
        <v>13.0966472795497</v>
      </c>
      <c r="CJ40" s="99">
        <v>13.1614052532833</v>
      </c>
      <c r="CK40" s="99">
        <v>13.226163227016899</v>
      </c>
      <c r="CL40" s="99">
        <v>13.2909212007505</v>
      </c>
      <c r="CM40" s="99">
        <v>13.3556791744841</v>
      </c>
      <c r="CN40" s="99">
        <v>13.4204371482176</v>
      </c>
      <c r="CO40" s="99">
        <v>13.4851951219512</v>
      </c>
      <c r="CP40" s="99">
        <v>13.549953095684801</v>
      </c>
      <c r="CQ40" s="99">
        <v>13.6147110694184</v>
      </c>
      <c r="CR40" s="99">
        <v>13.679469043152</v>
      </c>
      <c r="CS40" s="99">
        <v>13.744227016885599</v>
      </c>
      <c r="CT40" s="99">
        <v>13.8089849906191</v>
      </c>
      <c r="CU40" s="99">
        <v>13.873742964352701</v>
      </c>
      <c r="CV40" s="99">
        <v>13.9385009380863</v>
      </c>
      <c r="CW40" s="99">
        <v>14.0032589118199</v>
      </c>
      <c r="CX40" s="99">
        <v>14.068016885553501</v>
      </c>
      <c r="CY40" s="99">
        <v>14.1327748592871</v>
      </c>
      <c r="CZ40" s="99">
        <v>14.197532833020601</v>
      </c>
      <c r="DA40" s="99">
        <v>14.2622908067542</v>
      </c>
      <c r="DB40" s="99">
        <v>14.3270487804878</v>
      </c>
      <c r="DC40" s="99">
        <v>14.391806754221401</v>
      </c>
      <c r="DD40" s="99">
        <v>14.456564727955</v>
      </c>
      <c r="DE40" s="99">
        <v>14.5213227016886</v>
      </c>
      <c r="DF40" s="99">
        <v>14.5860806754221</v>
      </c>
      <c r="DG40" s="99">
        <v>14.6508386491557</v>
      </c>
      <c r="DH40" s="99">
        <v>14.715596622889301</v>
      </c>
      <c r="DI40" s="99">
        <v>14.7803545966229</v>
      </c>
      <c r="DJ40" s="99">
        <v>14.8451125703565</v>
      </c>
      <c r="DK40" s="99">
        <v>14.909870544090101</v>
      </c>
      <c r="DL40" s="99">
        <v>14.9746285178236</v>
      </c>
      <c r="DM40" s="99">
        <v>15.039386491557201</v>
      </c>
      <c r="DN40" s="99">
        <v>15.104144465290799</v>
      </c>
      <c r="DO40" s="99">
        <v>15.1689024390244</v>
      </c>
      <c r="DP40" s="99">
        <v>15.233660412758001</v>
      </c>
      <c r="DQ40" s="99">
        <v>15.298418386491599</v>
      </c>
      <c r="DR40" s="99">
        <v>15.363176360225101</v>
      </c>
      <c r="DS40" s="99">
        <v>15.427934333958699</v>
      </c>
      <c r="DT40" s="99">
        <v>15.4926923076923</v>
      </c>
      <c r="DU40" s="99">
        <v>15.557450281425901</v>
      </c>
      <c r="DV40" s="99">
        <v>15.622208255159499</v>
      </c>
      <c r="DW40" s="99">
        <v>15.6869662288931</v>
      </c>
      <c r="DX40" s="99">
        <v>15.751724202626599</v>
      </c>
      <c r="DY40" s="99">
        <v>15.8164821763602</v>
      </c>
      <c r="DZ40" s="99">
        <v>15.881240150093801</v>
      </c>
      <c r="EA40" s="99">
        <v>15.945998123827399</v>
      </c>
      <c r="EB40" s="99">
        <v>16.010756097561</v>
      </c>
      <c r="EC40" s="99">
        <v>16.075514071294599</v>
      </c>
      <c r="ED40" s="99">
        <v>16.140272045028102</v>
      </c>
      <c r="EE40" s="99">
        <v>16.2050300187617</v>
      </c>
      <c r="EF40" s="99">
        <v>16.269787992495299</v>
      </c>
      <c r="EG40" s="99">
        <v>16.334545966228902</v>
      </c>
      <c r="EH40" s="99">
        <v>16.3993039399625</v>
      </c>
      <c r="EI40" s="99">
        <v>16.464061913696099</v>
      </c>
      <c r="EJ40" s="99">
        <v>16.528819887429599</v>
      </c>
      <c r="EK40" s="99">
        <v>16.593577861163201</v>
      </c>
      <c r="EL40" s="99">
        <v>16.6583358348968</v>
      </c>
      <c r="EM40" s="99">
        <v>16.723093808630399</v>
      </c>
      <c r="EN40" s="99">
        <v>16.787851782364001</v>
      </c>
      <c r="EO40" s="99">
        <v>16.8526097560976</v>
      </c>
      <c r="EP40" s="99">
        <v>16.917367729831099</v>
      </c>
      <c r="EQ40" s="99">
        <v>16.982125703564702</v>
      </c>
      <c r="ER40" s="99">
        <v>17.0468836772983</v>
      </c>
      <c r="ES40" s="99">
        <v>17.111641651031899</v>
      </c>
      <c r="ET40" s="99">
        <v>17.176399624765502</v>
      </c>
      <c r="EU40" s="99">
        <v>17.2411575984991</v>
      </c>
      <c r="EV40" s="99">
        <v>17.3059155722326</v>
      </c>
      <c r="EW40" s="99">
        <v>17.370673545966199</v>
      </c>
      <c r="EX40" s="99">
        <v>17.435431519699801</v>
      </c>
      <c r="EY40" s="99">
        <v>17.5001894934334</v>
      </c>
      <c r="EZ40" s="99">
        <v>17.564947467166999</v>
      </c>
      <c r="FA40" s="99">
        <v>17.629705440900501</v>
      </c>
      <c r="FB40" s="99">
        <v>17.6944634146341</v>
      </c>
      <c r="FC40" s="99">
        <v>17.759221388367699</v>
      </c>
      <c r="FD40" s="99">
        <v>17.823979362101301</v>
      </c>
      <c r="FE40" s="99">
        <v>17.8887373358349</v>
      </c>
      <c r="FF40" s="99">
        <v>17.953495309568499</v>
      </c>
      <c r="FG40" s="99">
        <v>18.018253283301998</v>
      </c>
      <c r="FH40" s="99">
        <v>18.083011257035601</v>
      </c>
      <c r="FI40" s="99">
        <v>18.1477692307692</v>
      </c>
      <c r="FJ40" s="99">
        <v>18.212527204502798</v>
      </c>
      <c r="FK40" s="99">
        <v>18.277285178236401</v>
      </c>
      <c r="FL40" s="99">
        <v>18.34204315197</v>
      </c>
      <c r="FM40" s="99">
        <v>18.406801125703499</v>
      </c>
      <c r="FN40" s="99">
        <v>18.471559099437101</v>
      </c>
      <c r="FO40" s="99">
        <v>18.5363170731707</v>
      </c>
      <c r="FP40" s="99">
        <v>18.601075046904299</v>
      </c>
      <c r="FQ40" s="99">
        <v>18.665833020637901</v>
      </c>
      <c r="FR40" s="99">
        <v>18.7305909943715</v>
      </c>
      <c r="FS40" s="99">
        <v>18.795348968104999</v>
      </c>
      <c r="FT40" s="99">
        <v>18.860106941838598</v>
      </c>
      <c r="FU40" s="99">
        <v>18.924864915572201</v>
      </c>
      <c r="FV40" s="99">
        <v>18.989622889305799</v>
      </c>
      <c r="FW40" s="99">
        <v>19.054380863039398</v>
      </c>
      <c r="FX40" s="99">
        <v>19.119138836773001</v>
      </c>
      <c r="FY40" s="99">
        <v>19.1838968105065</v>
      </c>
      <c r="FZ40" s="99">
        <v>19.248654784240099</v>
      </c>
      <c r="GA40" s="99">
        <v>19.313412757973701</v>
      </c>
      <c r="GB40" s="99">
        <v>19.3781707317073</v>
      </c>
      <c r="GC40" s="99">
        <v>19.442928705440899</v>
      </c>
      <c r="GD40" s="99">
        <v>19.507686679174501</v>
      </c>
      <c r="GE40" s="99">
        <v>19.572444652908001</v>
      </c>
      <c r="GF40" s="99">
        <v>19.637202626641599</v>
      </c>
      <c r="GG40" s="99">
        <v>19.701960600375202</v>
      </c>
      <c r="GH40" s="99">
        <v>19.766718574108801</v>
      </c>
      <c r="GI40" s="99">
        <v>19.831476547842399</v>
      </c>
      <c r="GJ40" s="99">
        <v>19.896234521576002</v>
      </c>
      <c r="GK40" s="99">
        <v>19.960992495309501</v>
      </c>
      <c r="GL40" s="99">
        <v>20.0257504690431</v>
      </c>
      <c r="GM40" s="99">
        <v>20.090508442776699</v>
      </c>
      <c r="GN40" s="99">
        <v>20.155266416510301</v>
      </c>
      <c r="GO40" s="99">
        <v>20.2200243902439</v>
      </c>
      <c r="GP40" s="99">
        <v>20.284782363977499</v>
      </c>
      <c r="GQ40" s="99">
        <v>20.349540337711002</v>
      </c>
      <c r="GR40" s="99">
        <v>20.4142983114446</v>
      </c>
      <c r="GS40" s="99">
        <v>20.479056285178199</v>
      </c>
      <c r="GT40" s="99">
        <v>20.543814258911802</v>
      </c>
      <c r="GU40" s="99">
        <v>20.6085722326454</v>
      </c>
      <c r="GV40" s="99">
        <v>20.673330206378999</v>
      </c>
      <c r="GW40" s="99">
        <v>20.738088180112499</v>
      </c>
      <c r="GX40" s="99">
        <v>20.802846153846101</v>
      </c>
      <c r="GY40" s="99">
        <v>20.8676041275797</v>
      </c>
      <c r="GZ40" s="99">
        <v>20.932362101313299</v>
      </c>
      <c r="HA40" s="99">
        <v>20.997120075046901</v>
      </c>
      <c r="HB40" s="99">
        <v>21.0618780487805</v>
      </c>
      <c r="HC40" s="99">
        <v>21.126636022513999</v>
      </c>
      <c r="HD40" s="99">
        <v>21.191393996247601</v>
      </c>
      <c r="HE40" s="99">
        <v>21.2561519699812</v>
      </c>
      <c r="HF40" s="99">
        <v>21.320909943714799</v>
      </c>
      <c r="HG40" s="99">
        <v>21.385667917448401</v>
      </c>
      <c r="HH40" s="99">
        <v>21.450425891182</v>
      </c>
      <c r="HI40" s="99">
        <v>21.5151838649155</v>
      </c>
      <c r="HJ40" s="99">
        <v>21.579941838649098</v>
      </c>
      <c r="HK40" s="99">
        <v>21.644699812382701</v>
      </c>
      <c r="HL40" s="99">
        <v>21.7094577861163</v>
      </c>
      <c r="HM40" s="99">
        <v>21.774215759849898</v>
      </c>
      <c r="HN40" s="99">
        <v>21.838973733583501</v>
      </c>
      <c r="HO40" s="99">
        <v>21.903731707317</v>
      </c>
      <c r="HP40" s="99">
        <v>21.968489681050599</v>
      </c>
      <c r="HQ40" s="99">
        <v>22.033247654784201</v>
      </c>
      <c r="HR40" s="99">
        <v>22.0980056285178</v>
      </c>
      <c r="HS40" s="99">
        <v>22.162763602251399</v>
      </c>
      <c r="HT40" s="99">
        <v>22.227521575985001</v>
      </c>
      <c r="HU40" s="99">
        <v>22.292279549718501</v>
      </c>
      <c r="HV40" s="99">
        <v>22.357037523452099</v>
      </c>
      <c r="HW40" s="99">
        <v>22.421795497185698</v>
      </c>
      <c r="HX40" s="99">
        <v>22.486553470919301</v>
      </c>
      <c r="HY40" s="99">
        <v>22.551311444652899</v>
      </c>
      <c r="HZ40" s="99">
        <v>22.616069418386498</v>
      </c>
      <c r="IA40" s="99">
        <v>22.680827392120001</v>
      </c>
      <c r="IB40" s="99">
        <v>22.7455853658536</v>
      </c>
      <c r="IC40" s="99">
        <v>22.810343339587199</v>
      </c>
      <c r="ID40" s="99">
        <v>22.875101313320801</v>
      </c>
      <c r="IE40" s="99">
        <v>22.9398592870544</v>
      </c>
      <c r="IF40" s="99">
        <v>23.004617260787999</v>
      </c>
      <c r="IG40" s="99">
        <v>23.069375234521502</v>
      </c>
      <c r="IH40" s="99">
        <v>23.134133208255101</v>
      </c>
      <c r="II40" s="99">
        <v>23.198891181988699</v>
      </c>
      <c r="IJ40" s="99">
        <v>23.263649155722302</v>
      </c>
      <c r="IK40" s="99">
        <v>23.328407129455901</v>
      </c>
      <c r="IL40" s="99">
        <v>23.393165103189499</v>
      </c>
      <c r="IM40" s="99">
        <v>23.457923076922999</v>
      </c>
      <c r="IN40" s="99">
        <v>23.522681050656601</v>
      </c>
      <c r="IO40" s="99">
        <v>23.5874390243902</v>
      </c>
      <c r="IP40" s="99">
        <v>23.652196998123799</v>
      </c>
      <c r="IQ40" s="99">
        <v>23.716954971857401</v>
      </c>
      <c r="IR40" s="99">
        <v>23.781712945591</v>
      </c>
      <c r="IS40" s="99">
        <v>23.846470919324599</v>
      </c>
      <c r="IT40" s="99">
        <v>23.911228893058102</v>
      </c>
      <c r="IU40" s="99">
        <v>23.9759868667917</v>
      </c>
      <c r="IV40" s="99">
        <v>24.040744840525299</v>
      </c>
      <c r="IW40" s="99">
        <v>24.105502814258902</v>
      </c>
      <c r="IX40" s="99">
        <v>24.1702607879925</v>
      </c>
      <c r="IY40" s="99">
        <v>24.235018761726099</v>
      </c>
      <c r="IZ40" s="99">
        <v>24.299776735459599</v>
      </c>
      <c r="JA40" s="99">
        <v>24.364534709193201</v>
      </c>
      <c r="JB40" s="99">
        <v>24.4292926829268</v>
      </c>
      <c r="JC40" s="99">
        <v>24.494050656660399</v>
      </c>
      <c r="JD40" s="99">
        <v>24.558808630394001</v>
      </c>
      <c r="JE40" s="99">
        <v>24.6235666041276</v>
      </c>
      <c r="JF40" s="99">
        <v>24.688324577861099</v>
      </c>
      <c r="JG40" s="99">
        <v>24.753082551594701</v>
      </c>
      <c r="JH40" s="99">
        <v>24.8178405253283</v>
      </c>
      <c r="JI40" s="99">
        <v>24.882598499061899</v>
      </c>
      <c r="JJ40" s="99">
        <v>24.947356472795502</v>
      </c>
      <c r="JK40" s="99">
        <v>25.0121144465291</v>
      </c>
      <c r="JL40" s="99">
        <v>25.0768724202626</v>
      </c>
      <c r="JM40" s="99">
        <v>25.141630393996198</v>
      </c>
      <c r="JN40" s="99">
        <v>25.206388367729801</v>
      </c>
      <c r="JO40" s="99">
        <v>25.2711463414634</v>
      </c>
      <c r="JP40" s="99">
        <v>25.335904315196998</v>
      </c>
      <c r="JQ40" s="99">
        <v>25.400662288930601</v>
      </c>
      <c r="JR40" s="99">
        <v>25.4654202626641</v>
      </c>
      <c r="JS40" s="99">
        <v>25.530178236397699</v>
      </c>
      <c r="JT40" s="99">
        <v>25.594936210131301</v>
      </c>
      <c r="JU40" s="99">
        <v>25.6596941838649</v>
      </c>
      <c r="JV40" s="99">
        <v>25.724452157598499</v>
      </c>
      <c r="JW40" s="99">
        <v>25.789210131332101</v>
      </c>
      <c r="JX40" s="99">
        <v>25.853968105065601</v>
      </c>
      <c r="JY40" s="99">
        <v>25.9187260787992</v>
      </c>
      <c r="JZ40" s="99">
        <v>25.983484052532798</v>
      </c>
      <c r="KA40" s="99">
        <v>26.048242026266401</v>
      </c>
      <c r="KB40" s="99">
        <v>26.113</v>
      </c>
      <c r="KC40" s="99">
        <v>26.177757973733598</v>
      </c>
      <c r="KD40" s="99">
        <v>26.242515947467101</v>
      </c>
      <c r="KE40" s="99">
        <v>26.3072739212007</v>
      </c>
      <c r="KF40" s="99">
        <v>26.372031894934299</v>
      </c>
      <c r="KG40" s="99">
        <v>26.436789868667901</v>
      </c>
      <c r="KH40" s="99">
        <v>26.5015478424015</v>
      </c>
      <c r="KI40" s="99">
        <v>26.566305816135099</v>
      </c>
      <c r="KJ40" s="99">
        <v>26.631063789868598</v>
      </c>
      <c r="KK40" s="99">
        <v>26.695821763602201</v>
      </c>
      <c r="KL40" s="99">
        <v>26.760579737335799</v>
      </c>
      <c r="KM40" s="99">
        <v>26.825337711069398</v>
      </c>
      <c r="KN40" s="99">
        <v>26.890095684803001</v>
      </c>
      <c r="KO40" s="99">
        <v>26.954853658536599</v>
      </c>
      <c r="KP40" s="99">
        <v>27.019611632270099</v>
      </c>
      <c r="KQ40" s="99">
        <v>27.084369606003701</v>
      </c>
      <c r="KR40" s="99">
        <v>27.1491275797373</v>
      </c>
      <c r="KS40" s="99">
        <v>27.213885553470899</v>
      </c>
      <c r="KT40" s="99">
        <v>27.278643527204501</v>
      </c>
      <c r="KU40" s="99">
        <v>27.3434015009381</v>
      </c>
      <c r="KV40" s="99">
        <v>27.408159474671599</v>
      </c>
      <c r="KW40" s="99">
        <v>27.472917448405202</v>
      </c>
      <c r="KX40" s="99">
        <v>27.5376754221388</v>
      </c>
      <c r="KY40" s="99">
        <v>27.602433395872399</v>
      </c>
      <c r="KZ40" s="99">
        <v>27.667191369606002</v>
      </c>
      <c r="LA40" s="99">
        <v>27.7319493433396</v>
      </c>
      <c r="LB40" s="99">
        <v>27.7967073170731</v>
      </c>
      <c r="LC40" s="99">
        <v>27.861465290806699</v>
      </c>
      <c r="LD40" s="99">
        <v>27.926223264540301</v>
      </c>
      <c r="LE40" s="99">
        <v>27.9909812382739</v>
      </c>
      <c r="LF40" s="99">
        <v>28.055739212007499</v>
      </c>
      <c r="LG40" s="99">
        <v>28.120497185741101</v>
      </c>
      <c r="LH40" s="99">
        <v>28.1852551594746</v>
      </c>
      <c r="LI40" s="99">
        <v>28.250013133208199</v>
      </c>
      <c r="LJ40" s="99">
        <v>28.314771106941802</v>
      </c>
      <c r="LK40" s="99">
        <v>28.3795290806754</v>
      </c>
      <c r="LL40" s="99">
        <v>28.444287054408999</v>
      </c>
      <c r="LM40" s="99">
        <v>28.509045028142602</v>
      </c>
      <c r="LN40" s="99">
        <v>28.573803001876101</v>
      </c>
      <c r="LO40" s="99">
        <v>28.6385609756097</v>
      </c>
      <c r="LP40" s="99">
        <v>28.703318949343299</v>
      </c>
      <c r="LQ40" s="99">
        <v>28.768076923076901</v>
      </c>
      <c r="LR40" s="99">
        <v>28.8328348968105</v>
      </c>
      <c r="LS40" s="99">
        <v>28.897592870544099</v>
      </c>
      <c r="LT40" s="99">
        <v>28.962350844277601</v>
      </c>
      <c r="LU40" s="99">
        <v>29.0271088180112</v>
      </c>
      <c r="LV40" s="99">
        <v>29.091866791744799</v>
      </c>
      <c r="LW40" s="99">
        <v>29.156624765478401</v>
      </c>
      <c r="LX40" s="99">
        <v>29.221382739212</v>
      </c>
      <c r="LY40" s="99">
        <v>29.286140712945599</v>
      </c>
      <c r="LZ40" s="99">
        <v>29.350898686679098</v>
      </c>
      <c r="MA40" s="99">
        <v>29.415656660412701</v>
      </c>
      <c r="MB40" s="99">
        <v>29.4804146341463</v>
      </c>
      <c r="MC40" s="99">
        <v>29.545172607879898</v>
      </c>
      <c r="MD40" s="99">
        <v>29.609930581613501</v>
      </c>
      <c r="ME40" s="99">
        <v>29.6746885553471</v>
      </c>
      <c r="MF40" s="99">
        <v>29.739446529080599</v>
      </c>
      <c r="MG40" s="99">
        <v>29.804204502814201</v>
      </c>
      <c r="MH40" s="99">
        <v>29.8689624765478</v>
      </c>
      <c r="MI40" s="99">
        <v>29.933720450281399</v>
      </c>
      <c r="MJ40" s="99">
        <v>29.998478424015001</v>
      </c>
      <c r="MK40" s="99">
        <v>30.0632363977486</v>
      </c>
      <c r="ML40" s="99">
        <v>30.127994371482099</v>
      </c>
      <c r="MM40" s="99">
        <v>30.192752345215698</v>
      </c>
      <c r="MN40" s="99">
        <v>30.257510318949301</v>
      </c>
      <c r="MO40" s="99">
        <v>30.322268292682899</v>
      </c>
      <c r="MP40" s="99">
        <v>30.387026266416498</v>
      </c>
      <c r="MQ40" s="99">
        <v>30.451784240150101</v>
      </c>
      <c r="MR40" s="99">
        <v>30.5165422138836</v>
      </c>
      <c r="MS40" s="99">
        <v>30.581300187617199</v>
      </c>
      <c r="MT40" s="99">
        <v>30.646058161350801</v>
      </c>
      <c r="MU40" s="99">
        <v>30.7108161350844</v>
      </c>
      <c r="MV40" s="99">
        <v>30.775574108817999</v>
      </c>
      <c r="MW40" s="99">
        <v>30.840332082551601</v>
      </c>
      <c r="MX40" s="99">
        <v>30.905090056285101</v>
      </c>
      <c r="MY40" s="99">
        <v>30.969848030018699</v>
      </c>
      <c r="MZ40" s="99">
        <v>31.034606003752302</v>
      </c>
      <c r="NA40" s="99">
        <v>31.099363977485901</v>
      </c>
      <c r="NB40" s="99">
        <v>31.164121951219499</v>
      </c>
      <c r="NC40" s="99">
        <v>31.228879924953102</v>
      </c>
      <c r="ND40" s="99">
        <v>31.293637898686701</v>
      </c>
      <c r="NE40" s="99">
        <v>31.3583958724202</v>
      </c>
      <c r="NF40" s="99">
        <v>31.423153846153799</v>
      </c>
      <c r="NG40" s="99">
        <v>31.487911819887401</v>
      </c>
      <c r="NH40" s="99">
        <v>31.552669793621</v>
      </c>
      <c r="NI40" s="99">
        <v>31.617427767354599</v>
      </c>
      <c r="NJ40" s="99">
        <v>31.682185741088201</v>
      </c>
      <c r="NK40" s="99">
        <v>31.7469437148217</v>
      </c>
      <c r="NL40" s="99">
        <v>31.811701688555299</v>
      </c>
      <c r="NM40" s="99">
        <v>31.876459662288902</v>
      </c>
      <c r="NN40" s="99">
        <v>31.9412176360225</v>
      </c>
      <c r="NO40" s="99">
        <v>32.005975609756099</v>
      </c>
      <c r="NP40" s="99">
        <v>32.070733583489698</v>
      </c>
      <c r="NQ40" s="99">
        <v>32.135491557223197</v>
      </c>
      <c r="NR40" s="99">
        <v>32.200249530956803</v>
      </c>
      <c r="NS40" s="99">
        <v>32.265007504690402</v>
      </c>
      <c r="NT40" s="99">
        <v>32.329765478424001</v>
      </c>
      <c r="NU40" s="99">
        <v>32.3945234521576</v>
      </c>
      <c r="NV40" s="99">
        <v>32.459281425891199</v>
      </c>
      <c r="NW40" s="99">
        <v>32.524039399624698</v>
      </c>
      <c r="NX40" s="99">
        <v>32.588797373358297</v>
      </c>
      <c r="NY40" s="99">
        <v>32.653555347091903</v>
      </c>
      <c r="NZ40" s="99">
        <v>32.718313320825501</v>
      </c>
      <c r="OA40" s="99">
        <v>32.7830712945591</v>
      </c>
      <c r="OB40" s="99">
        <v>32.847829268292699</v>
      </c>
      <c r="OC40" s="99">
        <v>32.912587242026198</v>
      </c>
      <c r="OD40" s="99">
        <v>32.977345215759797</v>
      </c>
      <c r="OE40" s="99">
        <v>33.042103189493403</v>
      </c>
      <c r="OF40" s="99">
        <v>33.106861163227002</v>
      </c>
      <c r="OG40" s="99">
        <v>33.171619136960601</v>
      </c>
      <c r="OH40" s="99">
        <v>33.2363771106942</v>
      </c>
      <c r="OI40" s="99">
        <v>33.301135084427699</v>
      </c>
      <c r="OJ40" s="99">
        <v>33.365893058161298</v>
      </c>
      <c r="OK40" s="99">
        <v>33.430651031894897</v>
      </c>
      <c r="OL40" s="99">
        <v>33.495409005628503</v>
      </c>
      <c r="OM40" s="99">
        <v>33.560166979362101</v>
      </c>
      <c r="ON40" s="99">
        <v>33.6249249530957</v>
      </c>
      <c r="OO40" s="99">
        <v>33.6896829268292</v>
      </c>
      <c r="OP40" s="99">
        <v>33.754440900562798</v>
      </c>
      <c r="OQ40" s="99">
        <v>33.819198874296397</v>
      </c>
      <c r="OR40" s="99">
        <v>33.883956848030003</v>
      </c>
      <c r="OS40" s="99">
        <v>33.948714821763602</v>
      </c>
      <c r="OT40" s="99">
        <v>34.013472795497201</v>
      </c>
      <c r="OU40" s="99">
        <v>34.0782307692307</v>
      </c>
      <c r="OV40" s="99">
        <v>34.142988742964299</v>
      </c>
      <c r="OW40" s="99">
        <v>34.207746716697898</v>
      </c>
      <c r="OX40" s="99">
        <v>34.272504690431496</v>
      </c>
      <c r="OY40" s="99">
        <v>34.337262664165102</v>
      </c>
      <c r="OZ40" s="99">
        <v>34.402020637898701</v>
      </c>
      <c r="PA40" s="99">
        <v>34.466778611632201</v>
      </c>
      <c r="PB40" s="99">
        <v>34.531536585365799</v>
      </c>
      <c r="PC40" s="99">
        <v>34.596294559099398</v>
      </c>
      <c r="PD40" s="99">
        <v>34.661052532832997</v>
      </c>
      <c r="PE40" s="99">
        <v>34.725810506566603</v>
      </c>
      <c r="PF40" s="99">
        <v>34.790568480300202</v>
      </c>
      <c r="PG40" s="99">
        <v>34.855326454033701</v>
      </c>
      <c r="PH40" s="99">
        <v>34.9200844277673</v>
      </c>
      <c r="PI40" s="99">
        <v>34.984842401500899</v>
      </c>
      <c r="PJ40" s="99">
        <v>35.049600375234498</v>
      </c>
      <c r="PK40" s="99">
        <v>35.114358348968103</v>
      </c>
      <c r="PL40" s="99">
        <v>35.179116322701702</v>
      </c>
      <c r="PM40" s="99">
        <v>35.243874296435202</v>
      </c>
      <c r="PN40" s="99">
        <v>35.3086322701688</v>
      </c>
      <c r="PO40" s="99">
        <v>35.373390243902399</v>
      </c>
      <c r="PP40" s="99">
        <v>35.438148217635998</v>
      </c>
      <c r="PQ40" s="99">
        <v>35.502906191369597</v>
      </c>
      <c r="PR40" s="99">
        <v>35.567664165103203</v>
      </c>
      <c r="PS40" s="99">
        <v>35.632422138836702</v>
      </c>
      <c r="PT40" s="99">
        <v>35.697180112570301</v>
      </c>
      <c r="PU40" s="99">
        <v>35.7619380863039</v>
      </c>
      <c r="PV40" s="99">
        <v>35.826696060037499</v>
      </c>
      <c r="PW40" s="99">
        <v>35.891454033771097</v>
      </c>
      <c r="PX40" s="99">
        <v>35.956212007504703</v>
      </c>
      <c r="PY40" s="99">
        <v>36.020969981238203</v>
      </c>
      <c r="PZ40" s="99">
        <v>36.085727954971802</v>
      </c>
      <c r="QA40" s="99">
        <v>36.1504859287054</v>
      </c>
      <c r="QB40" s="99">
        <v>36.215243902438999</v>
      </c>
      <c r="QC40" s="99">
        <v>36.280001876172598</v>
      </c>
      <c r="QD40" s="99">
        <v>36.344759849906197</v>
      </c>
      <c r="QE40" s="99">
        <v>36.409517823639703</v>
      </c>
      <c r="QF40" s="99">
        <v>36.474275797373302</v>
      </c>
      <c r="QG40" s="99">
        <v>36.539033771106901</v>
      </c>
      <c r="QH40" s="99">
        <v>36.6037917448405</v>
      </c>
      <c r="QI40" s="99">
        <v>36.668549718574099</v>
      </c>
      <c r="QJ40" s="99">
        <v>36.733307692307697</v>
      </c>
      <c r="QK40" s="99">
        <v>36.798065666041197</v>
      </c>
      <c r="QL40" s="99">
        <v>36.862823639774803</v>
      </c>
      <c r="QM40" s="99">
        <v>36.927581613508401</v>
      </c>
      <c r="QN40" s="99">
        <v>36.992339587242</v>
      </c>
      <c r="QO40" s="99">
        <v>37.057097560975599</v>
      </c>
      <c r="QP40" s="99">
        <v>37.121855534709198</v>
      </c>
      <c r="QQ40" s="99">
        <v>37.186613508442697</v>
      </c>
      <c r="QR40" s="99">
        <v>37.251371482176303</v>
      </c>
      <c r="QS40" s="99">
        <v>37.316129455909902</v>
      </c>
      <c r="QT40" s="99">
        <v>37.380887429643501</v>
      </c>
      <c r="QU40" s="99">
        <v>37.4456454033771</v>
      </c>
      <c r="QV40" s="99">
        <v>37.510403377110698</v>
      </c>
      <c r="QW40" s="99">
        <v>37.575161350844198</v>
      </c>
      <c r="QX40" s="99">
        <v>37.639919324577797</v>
      </c>
      <c r="QY40" s="99">
        <v>37.704677298311402</v>
      </c>
      <c r="QZ40" s="99">
        <v>37.769435272045001</v>
      </c>
      <c r="RA40" s="99">
        <v>37.8341932457786</v>
      </c>
      <c r="RB40" s="99">
        <v>37.898951219512199</v>
      </c>
      <c r="RC40" s="99">
        <v>37.963709193245698</v>
      </c>
      <c r="RD40" s="99">
        <v>38.028467166979297</v>
      </c>
      <c r="RE40" s="99">
        <v>38.093225140712903</v>
      </c>
      <c r="RF40" s="99">
        <v>38.157983114446502</v>
      </c>
      <c r="RG40" s="99">
        <v>38.222741088180101</v>
      </c>
      <c r="RH40" s="99">
        <v>38.287499061913699</v>
      </c>
      <c r="RI40" s="99">
        <v>38.352257035647199</v>
      </c>
      <c r="RJ40" s="99">
        <v>38.417015009380798</v>
      </c>
      <c r="RK40" s="99">
        <v>38.481772983114404</v>
      </c>
      <c r="RL40" s="99">
        <v>38.546530956848002</v>
      </c>
      <c r="RM40" s="99">
        <v>38.611288930581601</v>
      </c>
      <c r="RN40" s="99">
        <v>38.6760469043152</v>
      </c>
      <c r="RO40" s="99">
        <v>38.740804878048699</v>
      </c>
      <c r="RP40" s="99">
        <v>38.805562851782298</v>
      </c>
      <c r="RQ40" s="99">
        <v>38.870320825515897</v>
      </c>
      <c r="RR40" s="99">
        <v>38.935078799249503</v>
      </c>
      <c r="RS40" s="99">
        <v>38.999836772983102</v>
      </c>
      <c r="RT40" s="99">
        <v>39.064594746716701</v>
      </c>
      <c r="RU40" s="99">
        <v>39.1293527204502</v>
      </c>
      <c r="RV40" s="99">
        <v>39.194110694183799</v>
      </c>
      <c r="RW40" s="99">
        <v>39.258868667917397</v>
      </c>
      <c r="RX40" s="99">
        <v>39.323626641651003</v>
      </c>
      <c r="RY40" s="99">
        <v>39.388384615384602</v>
      </c>
      <c r="RZ40" s="99">
        <v>39.453142589118201</v>
      </c>
      <c r="SA40" s="99">
        <v>39.5179005628517</v>
      </c>
      <c r="SB40" s="99">
        <v>39.582658536585299</v>
      </c>
      <c r="SC40" s="99">
        <v>39.647416510318898</v>
      </c>
      <c r="SD40" s="99">
        <v>39.712174484052497</v>
      </c>
      <c r="SE40" s="99">
        <v>39.776932457786103</v>
      </c>
      <c r="SF40" s="99">
        <v>39.841690431519702</v>
      </c>
      <c r="SG40" s="99">
        <v>39.9064484052533</v>
      </c>
      <c r="SH40" s="99">
        <v>39.9712063789868</v>
      </c>
      <c r="SI40" s="99">
        <v>40.035964352720399</v>
      </c>
      <c r="SJ40" s="99">
        <v>40.100722326453997</v>
      </c>
      <c r="SK40" s="99">
        <v>40.165480300187603</v>
      </c>
      <c r="SL40" s="99">
        <v>40.230238273921202</v>
      </c>
      <c r="SM40" s="99">
        <v>40.294996247654801</v>
      </c>
      <c r="SN40" s="99">
        <v>40.3597542213883</v>
      </c>
      <c r="SO40" s="99">
        <v>40.424512195121899</v>
      </c>
      <c r="SP40" s="99">
        <v>40.489270168855498</v>
      </c>
      <c r="SQ40" s="99">
        <v>40.554028142589097</v>
      </c>
      <c r="SR40" s="99">
        <v>40.618786116322703</v>
      </c>
      <c r="SS40" s="99">
        <v>40.683544090056301</v>
      </c>
      <c r="ST40" s="99">
        <v>40.748302063789801</v>
      </c>
      <c r="SU40" s="99">
        <v>40.8130600375234</v>
      </c>
      <c r="SV40" s="99">
        <v>40.877818011256998</v>
      </c>
      <c r="SW40" s="99">
        <v>40.942575984990597</v>
      </c>
      <c r="SX40" s="99">
        <v>41.007333958724203</v>
      </c>
      <c r="SY40" s="99">
        <v>41.072091932457802</v>
      </c>
      <c r="SZ40" s="99">
        <v>41.136849906191301</v>
      </c>
      <c r="TA40" s="99">
        <v>41.2016078799249</v>
      </c>
      <c r="TB40" s="99">
        <v>41.266365853658499</v>
      </c>
      <c r="TC40" s="99">
        <v>41.331123827392098</v>
      </c>
      <c r="TD40" s="99">
        <v>41.395881801125697</v>
      </c>
      <c r="TE40" s="99">
        <v>41.460639774859303</v>
      </c>
      <c r="TF40" s="99">
        <v>41.525397748592802</v>
      </c>
      <c r="TG40" s="99">
        <v>41.590155722326401</v>
      </c>
      <c r="TH40" s="99">
        <v>41.654913696059999</v>
      </c>
      <c r="TI40" s="99">
        <v>41.719671669793598</v>
      </c>
      <c r="TJ40" s="99">
        <v>41.784429643527197</v>
      </c>
      <c r="TK40" s="99">
        <v>41.849187617260803</v>
      </c>
      <c r="TL40" s="99">
        <v>41.913945590994302</v>
      </c>
      <c r="TM40" s="99">
        <v>41.978703564727901</v>
      </c>
      <c r="TN40" s="99">
        <v>42.0434615384615</v>
      </c>
      <c r="TO40" s="99">
        <v>42.108219512195099</v>
      </c>
      <c r="TP40" s="99">
        <v>42.172977485928698</v>
      </c>
      <c r="TQ40" s="99">
        <v>42.237735459662296</v>
      </c>
      <c r="TR40" s="99">
        <v>42.302493433395803</v>
      </c>
      <c r="TS40" s="99">
        <v>42.367251407129402</v>
      </c>
      <c r="TT40" s="99">
        <v>42.432009380863001</v>
      </c>
      <c r="TU40" s="99">
        <v>42.496767354596599</v>
      </c>
      <c r="TV40" s="99">
        <v>42.561525328330198</v>
      </c>
      <c r="TW40" s="99">
        <v>42.626283302063797</v>
      </c>
      <c r="TX40" s="99">
        <v>42.691041275797303</v>
      </c>
      <c r="TY40" s="99">
        <v>42.755799249530902</v>
      </c>
      <c r="TZ40" s="99">
        <v>42.820557223264501</v>
      </c>
      <c r="UA40" s="99">
        <v>42.8853151969981</v>
      </c>
      <c r="UB40" s="99">
        <v>42.950073170731699</v>
      </c>
      <c r="UC40" s="99">
        <v>43.014831144465298</v>
      </c>
      <c r="UD40" s="99">
        <v>43.079589118198797</v>
      </c>
      <c r="UE40" s="99">
        <v>43.144347091932403</v>
      </c>
      <c r="UF40" s="99">
        <v>43.209105065666002</v>
      </c>
      <c r="UG40" s="99">
        <v>43.2738630393996</v>
      </c>
      <c r="UH40" s="99">
        <v>43.338621013133199</v>
      </c>
      <c r="UI40" s="99">
        <v>43.403378986866798</v>
      </c>
      <c r="UJ40" s="99">
        <v>43.468136960600297</v>
      </c>
      <c r="UK40" s="99">
        <v>43.532894934333903</v>
      </c>
      <c r="UL40" s="99">
        <v>43.597652908067502</v>
      </c>
      <c r="UM40" s="99">
        <v>43.662410881801101</v>
      </c>
      <c r="UN40" s="99">
        <v>43.7271688555347</v>
      </c>
      <c r="UO40" s="99">
        <v>43.791926829268299</v>
      </c>
      <c r="UP40" s="99">
        <v>43.856684803001798</v>
      </c>
      <c r="UQ40" s="99">
        <v>43.921442776735397</v>
      </c>
      <c r="UR40" s="99">
        <v>43.986200750469003</v>
      </c>
      <c r="US40" s="99">
        <v>44.050958724202602</v>
      </c>
      <c r="UT40" s="99">
        <v>44.115716697936101</v>
      </c>
    </row>
    <row r="41" spans="1:566" x14ac:dyDescent="0.2">
      <c r="A41" s="89">
        <v>17.5</v>
      </c>
      <c r="B41" s="90">
        <v>7.51</v>
      </c>
      <c r="C41" s="90">
        <v>7.58</v>
      </c>
      <c r="D41" s="90">
        <v>7.64</v>
      </c>
      <c r="E41" s="90">
        <v>7.7</v>
      </c>
      <c r="F41" s="90">
        <v>7.77</v>
      </c>
      <c r="G41" s="90">
        <v>7.83</v>
      </c>
      <c r="H41" s="90">
        <v>7.9</v>
      </c>
      <c r="I41" s="90">
        <v>7.96</v>
      </c>
      <c r="J41" s="90">
        <v>8.0299999999999994</v>
      </c>
      <c r="K41" s="90">
        <v>8.09</v>
      </c>
      <c r="L41" s="90">
        <v>8.15</v>
      </c>
      <c r="M41" s="90">
        <v>8.2200000000000006</v>
      </c>
      <c r="N41" s="90">
        <v>8.2799999999999994</v>
      </c>
      <c r="O41" s="90">
        <v>8.35</v>
      </c>
      <c r="P41" s="90">
        <v>8.41</v>
      </c>
      <c r="Q41" s="90">
        <v>8.4700000000000006</v>
      </c>
      <c r="R41" s="90">
        <v>8.5399999999999991</v>
      </c>
      <c r="S41" s="90">
        <v>8.6</v>
      </c>
      <c r="T41" s="90">
        <v>8.67</v>
      </c>
      <c r="U41" s="91">
        <v>8.73</v>
      </c>
      <c r="V41" s="90">
        <v>8.8000000000000007</v>
      </c>
      <c r="W41" s="90">
        <v>8.86</v>
      </c>
      <c r="X41" s="90">
        <v>8.92</v>
      </c>
      <c r="Y41" s="90">
        <v>8.99</v>
      </c>
      <c r="Z41" s="90">
        <v>9.0500000000000007</v>
      </c>
      <c r="AA41" s="90">
        <v>9.1199999999999992</v>
      </c>
      <c r="AB41" s="90">
        <v>9.18</v>
      </c>
      <c r="AC41" s="90">
        <v>9.24</v>
      </c>
      <c r="AD41" s="90">
        <v>9.31</v>
      </c>
      <c r="AE41" s="90">
        <v>9.3699999999999992</v>
      </c>
      <c r="AF41" s="90">
        <v>9.44</v>
      </c>
      <c r="AG41" s="90">
        <v>9.5</v>
      </c>
      <c r="AH41" s="90">
        <v>9.57</v>
      </c>
      <c r="AI41" s="90">
        <v>9.6300000000000008</v>
      </c>
      <c r="AJ41" s="90">
        <v>9.69</v>
      </c>
      <c r="AK41" s="90">
        <v>9.76</v>
      </c>
      <c r="AL41" s="90">
        <v>9.82</v>
      </c>
      <c r="AM41" s="90">
        <v>9.89</v>
      </c>
      <c r="AN41" s="90">
        <v>9.9499999999999993</v>
      </c>
      <c r="AO41" s="91">
        <v>10.01</v>
      </c>
      <c r="AP41" s="90">
        <v>10.0785769230769</v>
      </c>
      <c r="AQ41" s="90">
        <v>10.1427392120075</v>
      </c>
      <c r="AR41" s="90">
        <v>10.2069015009381</v>
      </c>
      <c r="AS41" s="90">
        <v>10.2710637898687</v>
      </c>
      <c r="AT41" s="90">
        <v>10.335226078799201</v>
      </c>
      <c r="AU41" s="90">
        <v>10.3993883677298</v>
      </c>
      <c r="AV41" s="90">
        <v>10.4635506566604</v>
      </c>
      <c r="AW41" s="90">
        <v>10.527712945591</v>
      </c>
      <c r="AX41" s="90">
        <v>10.5918752345216</v>
      </c>
      <c r="AY41" s="90">
        <v>10.6560375234522</v>
      </c>
      <c r="AZ41" s="90">
        <v>10.720199812382701</v>
      </c>
      <c r="BA41" s="90">
        <v>10.784362101313301</v>
      </c>
      <c r="BB41" s="90">
        <v>10.848524390243901</v>
      </c>
      <c r="BC41" s="90">
        <v>10.912686679174501</v>
      </c>
      <c r="BD41" s="90">
        <v>10.9768489681051</v>
      </c>
      <c r="BE41" s="90">
        <v>11.041011257035599</v>
      </c>
      <c r="BF41" s="90">
        <v>11.105173545966201</v>
      </c>
      <c r="BG41" s="90">
        <v>11.169335834896801</v>
      </c>
      <c r="BH41" s="90">
        <v>11.233498123827401</v>
      </c>
      <c r="BI41" s="91">
        <v>11.297660412758001</v>
      </c>
      <c r="BJ41" s="90">
        <v>11.361822701688601</v>
      </c>
      <c r="BK41" s="99">
        <v>11.425984990619099</v>
      </c>
      <c r="BL41" s="99">
        <v>11.490147279549699</v>
      </c>
      <c r="BM41" s="99">
        <v>11.554309568480299</v>
      </c>
      <c r="BN41" s="99">
        <v>11.618471857410899</v>
      </c>
      <c r="BO41" s="99">
        <v>11.682634146341501</v>
      </c>
      <c r="BP41" s="99">
        <v>11.746796435272</v>
      </c>
      <c r="BQ41" s="99">
        <v>11.8109587242026</v>
      </c>
      <c r="BR41" s="99">
        <v>11.875121013133199</v>
      </c>
      <c r="BS41" s="99">
        <v>11.939283302063799</v>
      </c>
      <c r="BT41" s="99">
        <v>12.003445590994399</v>
      </c>
      <c r="BU41" s="99">
        <v>12.067607879924999</v>
      </c>
      <c r="BV41" s="99">
        <v>12.1317701688555</v>
      </c>
      <c r="BW41" s="99">
        <v>12.1959324577861</v>
      </c>
      <c r="BX41" s="99">
        <v>12.2600947467167</v>
      </c>
      <c r="BY41" s="99">
        <v>12.3242570356473</v>
      </c>
      <c r="BZ41" s="99">
        <v>12.3884193245779</v>
      </c>
      <c r="CA41" s="99">
        <v>12.4525816135084</v>
      </c>
      <c r="CB41" s="99">
        <v>12.516743902439</v>
      </c>
      <c r="CC41" s="99">
        <v>12.5809061913696</v>
      </c>
      <c r="CD41" s="99">
        <v>12.6450684803002</v>
      </c>
      <c r="CE41" s="99">
        <v>12.7092307692308</v>
      </c>
      <c r="CF41" s="99">
        <v>12.7733930581613</v>
      </c>
      <c r="CG41" s="99">
        <v>12.8375553470919</v>
      </c>
      <c r="CH41" s="99">
        <v>12.9017176360225</v>
      </c>
      <c r="CI41" s="99">
        <v>12.9658799249531</v>
      </c>
      <c r="CJ41" s="99">
        <v>13.0300422138837</v>
      </c>
      <c r="CK41" s="99">
        <v>13.0942045028143</v>
      </c>
      <c r="CL41" s="99">
        <v>13.1583667917448</v>
      </c>
      <c r="CM41" s="99">
        <v>13.2225290806754</v>
      </c>
      <c r="CN41" s="99">
        <v>13.286691369606</v>
      </c>
      <c r="CO41" s="99">
        <v>13.3508536585366</v>
      </c>
      <c r="CP41" s="99">
        <v>13.4150159474672</v>
      </c>
      <c r="CQ41" s="99">
        <v>13.479178236397701</v>
      </c>
      <c r="CR41" s="99">
        <v>13.543340525328301</v>
      </c>
      <c r="CS41" s="99">
        <v>13.607502814258901</v>
      </c>
      <c r="CT41" s="99">
        <v>13.6716651031895</v>
      </c>
      <c r="CU41" s="99">
        <v>13.7358273921201</v>
      </c>
      <c r="CV41" s="99">
        <v>13.7999896810507</v>
      </c>
      <c r="CW41" s="99">
        <v>13.864151969981201</v>
      </c>
      <c r="CX41" s="99">
        <v>13.928314258911801</v>
      </c>
      <c r="CY41" s="99">
        <v>13.992476547842401</v>
      </c>
      <c r="CZ41" s="99">
        <v>14.056638836773001</v>
      </c>
      <c r="DA41" s="99">
        <v>14.120801125703601</v>
      </c>
      <c r="DB41" s="99">
        <v>14.184963414634099</v>
      </c>
      <c r="DC41" s="99">
        <v>14.249125703564699</v>
      </c>
      <c r="DD41" s="99">
        <v>14.313287992495299</v>
      </c>
      <c r="DE41" s="99">
        <v>14.377450281425901</v>
      </c>
      <c r="DF41" s="99">
        <v>14.441612570356501</v>
      </c>
      <c r="DG41" s="99">
        <v>14.505774859287101</v>
      </c>
      <c r="DH41" s="99">
        <v>14.569937148217599</v>
      </c>
      <c r="DI41" s="99">
        <v>14.634099437148199</v>
      </c>
      <c r="DJ41" s="99">
        <v>14.698261726078799</v>
      </c>
      <c r="DK41" s="99">
        <v>14.762424015009399</v>
      </c>
      <c r="DL41" s="99">
        <v>14.826586303939999</v>
      </c>
      <c r="DM41" s="99">
        <v>14.8907485928705</v>
      </c>
      <c r="DN41" s="99">
        <v>14.9549108818011</v>
      </c>
      <c r="DO41" s="99">
        <v>15.0190731707317</v>
      </c>
      <c r="DP41" s="99">
        <v>15.0832354596623</v>
      </c>
      <c r="DQ41" s="99">
        <v>15.147397748592899</v>
      </c>
      <c r="DR41" s="99">
        <v>15.211560037523499</v>
      </c>
      <c r="DS41" s="99">
        <v>15.275722326454</v>
      </c>
      <c r="DT41" s="99">
        <v>15.3398846153846</v>
      </c>
      <c r="DU41" s="99">
        <v>15.4040469043152</v>
      </c>
      <c r="DV41" s="99">
        <v>15.4682091932458</v>
      </c>
      <c r="DW41" s="99">
        <v>15.5323714821764</v>
      </c>
      <c r="DX41" s="99">
        <v>15.5965337711069</v>
      </c>
      <c r="DY41" s="99">
        <v>15.6606960600375</v>
      </c>
      <c r="DZ41" s="99">
        <v>15.7248583489681</v>
      </c>
      <c r="EA41" s="99">
        <v>15.7890206378987</v>
      </c>
      <c r="EB41" s="99">
        <v>15.8531829268293</v>
      </c>
      <c r="EC41" s="99">
        <v>15.9173452157598</v>
      </c>
      <c r="ED41" s="99">
        <v>15.9815075046904</v>
      </c>
      <c r="EE41" s="99">
        <v>16.045669793620998</v>
      </c>
      <c r="EF41" s="99">
        <v>16.109832082551598</v>
      </c>
      <c r="EG41" s="99">
        <v>16.173994371482198</v>
      </c>
      <c r="EH41" s="99">
        <v>16.238156660412798</v>
      </c>
      <c r="EI41" s="99">
        <v>16.302318949343299</v>
      </c>
      <c r="EJ41" s="99">
        <v>16.366481238273899</v>
      </c>
      <c r="EK41" s="99">
        <v>16.430643527204499</v>
      </c>
      <c r="EL41" s="99">
        <v>16.494805816135099</v>
      </c>
      <c r="EM41" s="99">
        <v>16.558968105065698</v>
      </c>
      <c r="EN41" s="99">
        <v>16.623130393996199</v>
      </c>
      <c r="EO41" s="99">
        <v>16.687292682926799</v>
      </c>
      <c r="EP41" s="99">
        <v>16.751454971857399</v>
      </c>
      <c r="EQ41" s="99">
        <v>16.815617260787999</v>
      </c>
      <c r="ER41" s="99">
        <v>16.879779549718599</v>
      </c>
      <c r="ES41" s="99">
        <v>16.943941838649199</v>
      </c>
      <c r="ET41" s="99">
        <v>17.008104127579699</v>
      </c>
      <c r="EU41" s="99">
        <v>17.072266416510299</v>
      </c>
      <c r="EV41" s="99">
        <v>17.136428705440899</v>
      </c>
      <c r="EW41" s="99">
        <v>17.200590994371499</v>
      </c>
      <c r="EX41" s="99">
        <v>17.264753283302099</v>
      </c>
      <c r="EY41" s="99">
        <v>17.328915572232599</v>
      </c>
      <c r="EZ41" s="99">
        <v>17.393077861163199</v>
      </c>
      <c r="FA41" s="99">
        <v>17.457240150093799</v>
      </c>
      <c r="FB41" s="99">
        <v>17.521402439024399</v>
      </c>
      <c r="FC41" s="99">
        <v>17.585564727954999</v>
      </c>
      <c r="FD41" s="99">
        <v>17.649727016885599</v>
      </c>
      <c r="FE41" s="99">
        <v>17.713889305816199</v>
      </c>
      <c r="FF41" s="99">
        <v>17.778051594746799</v>
      </c>
      <c r="FG41" s="99">
        <v>17.842213883677299</v>
      </c>
      <c r="FH41" s="99">
        <v>17.906376172607899</v>
      </c>
      <c r="FI41" s="99">
        <v>17.970538461538499</v>
      </c>
      <c r="FJ41" s="99">
        <v>18.034700750469099</v>
      </c>
      <c r="FK41" s="99">
        <v>18.098863039399699</v>
      </c>
      <c r="FL41" s="99">
        <v>18.163025328330299</v>
      </c>
      <c r="FM41" s="99">
        <v>18.2271876172608</v>
      </c>
      <c r="FN41" s="99">
        <v>18.2913499061914</v>
      </c>
      <c r="FO41" s="99">
        <v>18.355512195121999</v>
      </c>
      <c r="FP41" s="99">
        <v>18.419674484052599</v>
      </c>
      <c r="FQ41" s="99">
        <v>18.483836772983199</v>
      </c>
      <c r="FR41" s="99">
        <v>18.5479990619137</v>
      </c>
      <c r="FS41" s="99">
        <v>18.6121613508443</v>
      </c>
      <c r="FT41" s="99">
        <v>18.6763236397749</v>
      </c>
      <c r="FU41" s="99">
        <v>18.7404859287055</v>
      </c>
      <c r="FV41" s="99">
        <v>18.8046482176361</v>
      </c>
      <c r="FW41" s="99">
        <v>18.8688105065666</v>
      </c>
      <c r="FX41" s="99">
        <v>18.9329727954972</v>
      </c>
      <c r="FY41" s="99">
        <v>18.9971350844278</v>
      </c>
      <c r="FZ41" s="99">
        <v>19.0612973733584</v>
      </c>
      <c r="GA41" s="99">
        <v>19.125459662289</v>
      </c>
      <c r="GB41" s="99">
        <v>19.1896219512196</v>
      </c>
      <c r="GC41" s="99">
        <v>19.2537842401501</v>
      </c>
      <c r="GD41" s="99">
        <v>19.3179465290807</v>
      </c>
      <c r="GE41" s="99">
        <v>19.3821088180113</v>
      </c>
      <c r="GF41" s="99">
        <v>19.4462711069419</v>
      </c>
      <c r="GG41" s="99">
        <v>19.5104333958725</v>
      </c>
      <c r="GH41" s="99">
        <v>19.574595684803</v>
      </c>
      <c r="GI41" s="99">
        <v>19.6387579737336</v>
      </c>
      <c r="GJ41" s="99">
        <v>19.7029202626642</v>
      </c>
      <c r="GK41" s="99">
        <v>19.7670825515948</v>
      </c>
      <c r="GL41" s="99">
        <v>19.8312448405254</v>
      </c>
      <c r="GM41" s="99">
        <v>19.895407129456</v>
      </c>
      <c r="GN41" s="99">
        <v>19.959569418386501</v>
      </c>
      <c r="GO41" s="99">
        <v>20.023731707317101</v>
      </c>
      <c r="GP41" s="99">
        <v>20.087893996247701</v>
      </c>
      <c r="GQ41" s="99">
        <v>20.1520562851783</v>
      </c>
      <c r="GR41" s="99">
        <v>20.2162185741089</v>
      </c>
      <c r="GS41" s="99">
        <v>20.280380863039401</v>
      </c>
      <c r="GT41" s="99">
        <v>20.344543151970001</v>
      </c>
      <c r="GU41" s="99">
        <v>20.408705440900601</v>
      </c>
      <c r="GV41" s="99">
        <v>20.472867729831201</v>
      </c>
      <c r="GW41" s="99">
        <v>20.537030018761801</v>
      </c>
      <c r="GX41" s="99">
        <v>20.601192307692401</v>
      </c>
      <c r="GY41" s="99">
        <v>20.665354596622901</v>
      </c>
      <c r="GZ41" s="99">
        <v>20.729516885553501</v>
      </c>
      <c r="HA41" s="99">
        <v>20.793679174484101</v>
      </c>
      <c r="HB41" s="99">
        <v>20.857841463414701</v>
      </c>
      <c r="HC41" s="99">
        <v>20.922003752345301</v>
      </c>
      <c r="HD41" s="99">
        <v>20.986166041275801</v>
      </c>
      <c r="HE41" s="99">
        <v>21.050328330206401</v>
      </c>
      <c r="HF41" s="99">
        <v>21.114490619137001</v>
      </c>
      <c r="HG41" s="99">
        <v>21.178652908067601</v>
      </c>
      <c r="HH41" s="99">
        <v>21.242815196998201</v>
      </c>
      <c r="HI41" s="99">
        <v>21.306977485928801</v>
      </c>
      <c r="HJ41" s="99">
        <v>21.371139774859301</v>
      </c>
      <c r="HK41" s="99">
        <v>21.435302063789901</v>
      </c>
      <c r="HL41" s="99">
        <v>21.499464352720501</v>
      </c>
      <c r="HM41" s="99">
        <v>21.563626641651101</v>
      </c>
      <c r="HN41" s="99">
        <v>21.627788930581701</v>
      </c>
      <c r="HO41" s="99">
        <v>21.691951219512202</v>
      </c>
      <c r="HP41" s="99">
        <v>21.756113508442802</v>
      </c>
      <c r="HQ41" s="99">
        <v>21.820275797373402</v>
      </c>
      <c r="HR41" s="99">
        <v>21.884438086304002</v>
      </c>
      <c r="HS41" s="99">
        <v>21.948600375234602</v>
      </c>
      <c r="HT41" s="99">
        <v>22.012762664165098</v>
      </c>
      <c r="HU41" s="99">
        <v>22.076924953095698</v>
      </c>
      <c r="HV41" s="99">
        <v>22.141087242026298</v>
      </c>
      <c r="HW41" s="99">
        <v>22.205249530956898</v>
      </c>
      <c r="HX41" s="99">
        <v>22.269411819887502</v>
      </c>
      <c r="HY41" s="99">
        <v>22.333574108818102</v>
      </c>
      <c r="HZ41" s="99">
        <v>22.397736397748599</v>
      </c>
      <c r="IA41" s="99">
        <v>22.461898686679199</v>
      </c>
      <c r="IB41" s="99">
        <v>22.526060975609798</v>
      </c>
      <c r="IC41" s="99">
        <v>22.590223264540398</v>
      </c>
      <c r="ID41" s="99">
        <v>22.654385553470998</v>
      </c>
      <c r="IE41" s="99">
        <v>22.718547842401499</v>
      </c>
      <c r="IF41" s="99">
        <v>22.782710131332099</v>
      </c>
      <c r="IG41" s="99">
        <v>22.846872420262699</v>
      </c>
      <c r="IH41" s="99">
        <v>22.911034709193299</v>
      </c>
      <c r="II41" s="99">
        <v>22.975196998123899</v>
      </c>
      <c r="IJ41" s="99">
        <v>23.039359287054499</v>
      </c>
      <c r="IK41" s="99">
        <v>23.103521575984999</v>
      </c>
      <c r="IL41" s="99">
        <v>23.167683864915599</v>
      </c>
      <c r="IM41" s="99">
        <v>23.231846153846199</v>
      </c>
      <c r="IN41" s="99">
        <v>23.296008442776799</v>
      </c>
      <c r="IO41" s="99">
        <v>23.360170731707399</v>
      </c>
      <c r="IP41" s="99">
        <v>23.424333020637899</v>
      </c>
      <c r="IQ41" s="99">
        <v>23.488495309568499</v>
      </c>
      <c r="IR41" s="99">
        <v>23.552657598499099</v>
      </c>
      <c r="IS41" s="99">
        <v>23.616819887429699</v>
      </c>
      <c r="IT41" s="99">
        <v>23.680982176360299</v>
      </c>
      <c r="IU41" s="99">
        <v>23.745144465290899</v>
      </c>
      <c r="IV41" s="99">
        <v>23.809306754221399</v>
      </c>
      <c r="IW41" s="99">
        <v>23.873469043151999</v>
      </c>
      <c r="IX41" s="99">
        <v>23.937631332082599</v>
      </c>
      <c r="IY41" s="99">
        <v>24.001793621013199</v>
      </c>
      <c r="IZ41" s="99">
        <v>24.065955909943799</v>
      </c>
      <c r="JA41" s="99">
        <v>24.1301181988743</v>
      </c>
      <c r="JB41" s="99">
        <v>24.1942804878049</v>
      </c>
      <c r="JC41" s="99">
        <v>24.2584427767355</v>
      </c>
      <c r="JD41" s="99">
        <v>24.322605065666099</v>
      </c>
      <c r="JE41" s="99">
        <v>24.386767354596699</v>
      </c>
      <c r="JF41" s="99">
        <v>24.450929643527299</v>
      </c>
      <c r="JG41" s="99">
        <v>24.5150919324578</v>
      </c>
      <c r="JH41" s="99">
        <v>24.5792542213884</v>
      </c>
      <c r="JI41" s="99">
        <v>24.643416510319</v>
      </c>
      <c r="JJ41" s="99">
        <v>24.7075787992496</v>
      </c>
      <c r="JK41" s="99">
        <v>24.7717410881802</v>
      </c>
      <c r="JL41" s="99">
        <v>24.8359033771107</v>
      </c>
      <c r="JM41" s="99">
        <v>24.9000656660413</v>
      </c>
      <c r="JN41" s="99">
        <v>24.9642279549719</v>
      </c>
      <c r="JO41" s="99">
        <v>25.0283902439025</v>
      </c>
      <c r="JP41" s="99">
        <v>25.0925525328331</v>
      </c>
      <c r="JQ41" s="99">
        <v>25.1567148217636</v>
      </c>
      <c r="JR41" s="99">
        <v>25.2208771106942</v>
      </c>
      <c r="JS41" s="99">
        <v>25.2850393996248</v>
      </c>
      <c r="JT41" s="99">
        <v>25.3492016885554</v>
      </c>
      <c r="JU41" s="99">
        <v>25.413363977486</v>
      </c>
      <c r="JV41" s="99">
        <v>25.4775262664166</v>
      </c>
      <c r="JW41" s="99">
        <v>25.5416885553471</v>
      </c>
      <c r="JX41" s="99">
        <v>25.6058508442777</v>
      </c>
      <c r="JY41" s="99">
        <v>25.6700131332083</v>
      </c>
      <c r="JZ41" s="99">
        <v>25.7341754221389</v>
      </c>
      <c r="KA41" s="99">
        <v>25.7983377110695</v>
      </c>
      <c r="KB41" s="99">
        <v>25.862500000000001</v>
      </c>
      <c r="KC41" s="99">
        <v>25.926662288930601</v>
      </c>
      <c r="KD41" s="99">
        <v>25.990824577861201</v>
      </c>
      <c r="KE41" s="99">
        <v>26.054986866791801</v>
      </c>
      <c r="KF41" s="99">
        <v>26.1191491557224</v>
      </c>
      <c r="KG41" s="99">
        <v>26.183311444653</v>
      </c>
      <c r="KH41" s="99">
        <v>26.247473733583501</v>
      </c>
      <c r="KI41" s="99">
        <v>26.311636022514101</v>
      </c>
      <c r="KJ41" s="99">
        <v>26.375798311444701</v>
      </c>
      <c r="KK41" s="99">
        <v>26.439960600375301</v>
      </c>
      <c r="KL41" s="99">
        <v>26.504122889305901</v>
      </c>
      <c r="KM41" s="99">
        <v>26.568285178236401</v>
      </c>
      <c r="KN41" s="99">
        <v>26.632447467167001</v>
      </c>
      <c r="KO41" s="99">
        <v>26.696609756097601</v>
      </c>
      <c r="KP41" s="99">
        <v>26.760772045028201</v>
      </c>
      <c r="KQ41" s="99">
        <v>26.824934333958801</v>
      </c>
      <c r="KR41" s="99">
        <v>26.889096622889401</v>
      </c>
      <c r="KS41" s="99">
        <v>26.953258911819901</v>
      </c>
      <c r="KT41" s="99">
        <v>27.017421200750501</v>
      </c>
      <c r="KU41" s="99">
        <v>27.081583489681101</v>
      </c>
      <c r="KV41" s="99">
        <v>27.145745778611701</v>
      </c>
      <c r="KW41" s="99">
        <v>27.209908067542301</v>
      </c>
      <c r="KX41" s="99">
        <v>27.274070356472802</v>
      </c>
      <c r="KY41" s="99">
        <v>27.338232645403401</v>
      </c>
      <c r="KZ41" s="99">
        <v>27.402394934334001</v>
      </c>
      <c r="LA41" s="99">
        <v>27.466557223264601</v>
      </c>
      <c r="LB41" s="99">
        <v>27.530719512195201</v>
      </c>
      <c r="LC41" s="99">
        <v>27.594881801125801</v>
      </c>
      <c r="LD41" s="99">
        <v>27.659044090056302</v>
      </c>
      <c r="LE41" s="99">
        <v>27.723206378986902</v>
      </c>
      <c r="LF41" s="99">
        <v>27.787368667917502</v>
      </c>
      <c r="LG41" s="99">
        <v>27.851530956848102</v>
      </c>
      <c r="LH41" s="99">
        <v>27.915693245778701</v>
      </c>
      <c r="LI41" s="99">
        <v>27.979855534709198</v>
      </c>
      <c r="LJ41" s="99">
        <v>28.044017823639798</v>
      </c>
      <c r="LK41" s="99">
        <v>28.108180112570398</v>
      </c>
      <c r="LL41" s="99">
        <v>28.172342401501002</v>
      </c>
      <c r="LM41" s="99">
        <v>28.236504690431602</v>
      </c>
      <c r="LN41" s="99">
        <v>28.300666979362202</v>
      </c>
      <c r="LO41" s="99">
        <v>28.364829268292699</v>
      </c>
      <c r="LP41" s="99">
        <v>28.428991557223299</v>
      </c>
      <c r="LQ41" s="99">
        <v>28.493153846153898</v>
      </c>
      <c r="LR41" s="99">
        <v>28.557316135084498</v>
      </c>
      <c r="LS41" s="99">
        <v>28.621478424015098</v>
      </c>
      <c r="LT41" s="99">
        <v>28.685640712945599</v>
      </c>
      <c r="LU41" s="99">
        <v>28.749803001876199</v>
      </c>
      <c r="LV41" s="99">
        <v>28.813965290806799</v>
      </c>
      <c r="LW41" s="99">
        <v>28.878127579737399</v>
      </c>
      <c r="LX41" s="99">
        <v>28.942289868667999</v>
      </c>
      <c r="LY41" s="99">
        <v>29.006452157598499</v>
      </c>
      <c r="LZ41" s="99">
        <v>29.070614446529099</v>
      </c>
      <c r="MA41" s="99">
        <v>29.134776735459699</v>
      </c>
      <c r="MB41" s="99">
        <v>29.198939024390299</v>
      </c>
      <c r="MC41" s="99">
        <v>29.263101313320899</v>
      </c>
      <c r="MD41" s="99">
        <v>29.327263602251499</v>
      </c>
      <c r="ME41" s="99">
        <v>29.391425891181999</v>
      </c>
      <c r="MF41" s="99">
        <v>29.455588180112599</v>
      </c>
      <c r="MG41" s="99">
        <v>29.519750469043199</v>
      </c>
      <c r="MH41" s="99">
        <v>29.583912757973799</v>
      </c>
      <c r="MI41" s="99">
        <v>29.648075046904399</v>
      </c>
      <c r="MJ41" s="99">
        <v>29.712237335834899</v>
      </c>
      <c r="MK41" s="99">
        <v>29.776399624765499</v>
      </c>
      <c r="ML41" s="99">
        <v>29.840561913696099</v>
      </c>
      <c r="MM41" s="99">
        <v>29.904724202626699</v>
      </c>
      <c r="MN41" s="99">
        <v>29.968886491557299</v>
      </c>
      <c r="MO41" s="99">
        <v>30.033048780487899</v>
      </c>
      <c r="MP41" s="99">
        <v>30.0972110694184</v>
      </c>
      <c r="MQ41" s="99">
        <v>30.161373358349</v>
      </c>
      <c r="MR41" s="99">
        <v>30.2255356472796</v>
      </c>
      <c r="MS41" s="99">
        <v>30.289697936210199</v>
      </c>
      <c r="MT41" s="99">
        <v>30.353860225140799</v>
      </c>
      <c r="MU41" s="99">
        <v>30.4180225140713</v>
      </c>
      <c r="MV41" s="99">
        <v>30.4821848030019</v>
      </c>
      <c r="MW41" s="99">
        <v>30.5463470919325</v>
      </c>
      <c r="MX41" s="99">
        <v>30.6105093808631</v>
      </c>
      <c r="MY41" s="99">
        <v>30.6746716697937</v>
      </c>
      <c r="MZ41" s="99">
        <v>30.7388339587243</v>
      </c>
      <c r="NA41" s="99">
        <v>30.8029962476548</v>
      </c>
      <c r="NB41" s="99">
        <v>30.8671585365854</v>
      </c>
      <c r="NC41" s="99">
        <v>30.931320825516</v>
      </c>
      <c r="ND41" s="99">
        <v>30.9954831144466</v>
      </c>
      <c r="NE41" s="99">
        <v>31.0596454033772</v>
      </c>
      <c r="NF41" s="99">
        <v>31.1238076923077</v>
      </c>
      <c r="NG41" s="99">
        <v>31.1879699812383</v>
      </c>
      <c r="NH41" s="99">
        <v>31.2521322701689</v>
      </c>
      <c r="NI41" s="99">
        <v>31.3162945590995</v>
      </c>
      <c r="NJ41" s="99">
        <v>31.3804568480301</v>
      </c>
      <c r="NK41" s="99">
        <v>31.4446191369607</v>
      </c>
      <c r="NL41" s="99">
        <v>31.5087814258912</v>
      </c>
      <c r="NM41" s="99">
        <v>31.5729437148218</v>
      </c>
      <c r="NN41" s="99">
        <v>31.6371060037524</v>
      </c>
      <c r="NO41" s="99">
        <v>31.701268292683</v>
      </c>
      <c r="NP41" s="99">
        <v>31.7654305816136</v>
      </c>
      <c r="NQ41" s="99">
        <v>31.829592870544101</v>
      </c>
      <c r="NR41" s="99">
        <v>31.893755159474701</v>
      </c>
      <c r="NS41" s="99">
        <v>31.957917448405301</v>
      </c>
      <c r="NT41" s="99">
        <v>32.022079737335901</v>
      </c>
      <c r="NU41" s="99">
        <v>32.086242026266497</v>
      </c>
      <c r="NV41" s="99">
        <v>32.1504043151971</v>
      </c>
      <c r="NW41" s="99">
        <v>32.214566604127597</v>
      </c>
      <c r="NX41" s="99">
        <v>32.278728893058201</v>
      </c>
      <c r="NY41" s="99">
        <v>32.342891181988797</v>
      </c>
      <c r="NZ41" s="99">
        <v>32.407053470919401</v>
      </c>
      <c r="OA41" s="99">
        <v>32.471215759849997</v>
      </c>
      <c r="OB41" s="99">
        <v>32.535378048780501</v>
      </c>
      <c r="OC41" s="99">
        <v>32.599540337711097</v>
      </c>
      <c r="OD41" s="99">
        <v>32.663702626641701</v>
      </c>
      <c r="OE41" s="99">
        <v>32.727864915572297</v>
      </c>
      <c r="OF41" s="99">
        <v>32.792027204502901</v>
      </c>
      <c r="OG41" s="99">
        <v>32.856189493433398</v>
      </c>
      <c r="OH41" s="99">
        <v>32.920351782364001</v>
      </c>
      <c r="OI41" s="99">
        <v>32.984514071294598</v>
      </c>
      <c r="OJ41" s="99">
        <v>33.048676360225201</v>
      </c>
      <c r="OK41" s="99">
        <v>33.112838649155798</v>
      </c>
      <c r="OL41" s="99">
        <v>33.177000938086401</v>
      </c>
      <c r="OM41" s="99">
        <v>33.241163227016898</v>
      </c>
      <c r="ON41" s="99">
        <v>33.305325515947501</v>
      </c>
      <c r="OO41" s="99">
        <v>33.369487804878098</v>
      </c>
      <c r="OP41" s="99">
        <v>33.433650093808701</v>
      </c>
      <c r="OQ41" s="99">
        <v>33.497812382739298</v>
      </c>
      <c r="OR41" s="99">
        <v>33.561974671669802</v>
      </c>
      <c r="OS41" s="99">
        <v>33.626136960600398</v>
      </c>
      <c r="OT41" s="99">
        <v>33.690299249531002</v>
      </c>
      <c r="OU41" s="99">
        <v>33.754461538461598</v>
      </c>
      <c r="OV41" s="99">
        <v>33.818623827392202</v>
      </c>
      <c r="OW41" s="99">
        <v>33.882786116322798</v>
      </c>
      <c r="OX41" s="99">
        <v>33.946948405253302</v>
      </c>
      <c r="OY41" s="99">
        <v>34.011110694183898</v>
      </c>
      <c r="OZ41" s="99">
        <v>34.075272983114502</v>
      </c>
      <c r="PA41" s="99">
        <v>34.139435272045098</v>
      </c>
      <c r="PB41" s="99">
        <v>34.203597560975702</v>
      </c>
      <c r="PC41" s="99">
        <v>34.267759849906199</v>
      </c>
      <c r="PD41" s="99">
        <v>34.331922138836802</v>
      </c>
      <c r="PE41" s="99">
        <v>34.396084427767398</v>
      </c>
      <c r="PF41" s="99">
        <v>34.460246716698002</v>
      </c>
      <c r="PG41" s="99">
        <v>34.524409005628598</v>
      </c>
      <c r="PH41" s="99">
        <v>34.588571294559202</v>
      </c>
      <c r="PI41" s="99">
        <v>34.652733583489699</v>
      </c>
      <c r="PJ41" s="99">
        <v>34.716895872420302</v>
      </c>
      <c r="PK41" s="99">
        <v>34.781058161350899</v>
      </c>
      <c r="PL41" s="99">
        <v>34.845220450281502</v>
      </c>
      <c r="PM41" s="99">
        <v>34.909382739212099</v>
      </c>
      <c r="PN41" s="99">
        <v>34.973545028142603</v>
      </c>
      <c r="PO41" s="99">
        <v>35.037707317073199</v>
      </c>
      <c r="PP41" s="99">
        <v>35.101869606003802</v>
      </c>
      <c r="PQ41" s="99">
        <v>35.166031894934399</v>
      </c>
      <c r="PR41" s="99">
        <v>35.230194183865002</v>
      </c>
      <c r="PS41" s="99">
        <v>35.294356472795499</v>
      </c>
      <c r="PT41" s="99">
        <v>35.358518761726103</v>
      </c>
      <c r="PU41" s="99">
        <v>35.422681050656699</v>
      </c>
      <c r="PV41" s="99">
        <v>35.486843339587303</v>
      </c>
      <c r="PW41" s="99">
        <v>35.551005628517899</v>
      </c>
      <c r="PX41" s="99">
        <v>35.615167917448503</v>
      </c>
      <c r="PY41" s="99">
        <v>35.679330206378999</v>
      </c>
      <c r="PZ41" s="99">
        <v>35.743492495309603</v>
      </c>
      <c r="QA41" s="99">
        <v>35.807654784240199</v>
      </c>
      <c r="QB41" s="99">
        <v>35.871817073170803</v>
      </c>
      <c r="QC41" s="99">
        <v>35.935979362101399</v>
      </c>
      <c r="QD41" s="99">
        <v>36.000141651031903</v>
      </c>
      <c r="QE41" s="99">
        <v>36.0643039399625</v>
      </c>
      <c r="QF41" s="99">
        <v>36.128466228893103</v>
      </c>
      <c r="QG41" s="99">
        <v>36.192628517823699</v>
      </c>
      <c r="QH41" s="99">
        <v>36.256790806754303</v>
      </c>
      <c r="QI41" s="99">
        <v>36.320953095684899</v>
      </c>
      <c r="QJ41" s="99">
        <v>36.385115384615403</v>
      </c>
      <c r="QK41" s="99">
        <v>36.449277673546</v>
      </c>
      <c r="QL41" s="99">
        <v>36.513439962476603</v>
      </c>
      <c r="QM41" s="99">
        <v>36.5776022514072</v>
      </c>
      <c r="QN41" s="99">
        <v>36.641764540337803</v>
      </c>
      <c r="QO41" s="99">
        <v>36.7059268292683</v>
      </c>
      <c r="QP41" s="99">
        <v>36.770089118198896</v>
      </c>
      <c r="QQ41" s="99">
        <v>36.8342514071295</v>
      </c>
      <c r="QR41" s="99">
        <v>36.898413696060103</v>
      </c>
      <c r="QS41" s="99">
        <v>36.9625759849907</v>
      </c>
      <c r="QT41" s="99">
        <v>37.026738273921303</v>
      </c>
      <c r="QU41" s="99">
        <v>37.0909005628518</v>
      </c>
      <c r="QV41" s="99">
        <v>37.155062851782397</v>
      </c>
      <c r="QW41" s="99">
        <v>37.219225140713</v>
      </c>
      <c r="QX41" s="99">
        <v>37.283387429643597</v>
      </c>
      <c r="QY41" s="99">
        <v>37.3475497185742</v>
      </c>
      <c r="QZ41" s="99">
        <v>37.411712007504697</v>
      </c>
      <c r="RA41" s="99">
        <v>37.4758742964353</v>
      </c>
      <c r="RB41" s="99">
        <v>37.540036585365897</v>
      </c>
      <c r="RC41" s="99">
        <v>37.6041988742965</v>
      </c>
      <c r="RD41" s="99">
        <v>37.668361163227097</v>
      </c>
      <c r="RE41" s="99">
        <v>37.7325234521577</v>
      </c>
      <c r="RF41" s="99">
        <v>37.796685741088197</v>
      </c>
      <c r="RG41" s="99">
        <v>37.860848030018801</v>
      </c>
      <c r="RH41" s="99">
        <v>37.925010318949397</v>
      </c>
      <c r="RI41" s="99">
        <v>37.98917260788</v>
      </c>
      <c r="RJ41" s="99">
        <v>38.053334896810597</v>
      </c>
      <c r="RK41" s="99">
        <v>38.117497185741101</v>
      </c>
      <c r="RL41" s="99">
        <v>38.181659474671697</v>
      </c>
      <c r="RM41" s="99">
        <v>38.245821763602301</v>
      </c>
      <c r="RN41" s="99">
        <v>38.309984052532897</v>
      </c>
      <c r="RO41" s="99">
        <v>38.374146341463501</v>
      </c>
      <c r="RP41" s="99">
        <v>38.438308630394097</v>
      </c>
      <c r="RQ41" s="99">
        <v>38.502470919324601</v>
      </c>
      <c r="RR41" s="99">
        <v>38.566633208255197</v>
      </c>
      <c r="RS41" s="99">
        <v>38.630795497185801</v>
      </c>
      <c r="RT41" s="99">
        <v>38.694957786116397</v>
      </c>
      <c r="RU41" s="99">
        <v>38.759120075047001</v>
      </c>
      <c r="RV41" s="99">
        <v>38.823282363977498</v>
      </c>
      <c r="RW41" s="99">
        <v>38.887444652908101</v>
      </c>
      <c r="RX41" s="99">
        <v>38.951606941838698</v>
      </c>
      <c r="RY41" s="99">
        <v>39.015769230769301</v>
      </c>
      <c r="RZ41" s="99">
        <v>39.079931519699898</v>
      </c>
      <c r="SA41" s="99">
        <v>39.144093808630402</v>
      </c>
      <c r="SB41" s="99">
        <v>39.208256097560998</v>
      </c>
      <c r="SC41" s="99">
        <v>39.272418386491601</v>
      </c>
      <c r="SD41" s="99">
        <v>39.336580675422198</v>
      </c>
      <c r="SE41" s="99">
        <v>39.400742964352801</v>
      </c>
      <c r="SF41" s="99">
        <v>39.464905253283398</v>
      </c>
      <c r="SG41" s="99">
        <v>39.529067542213902</v>
      </c>
      <c r="SH41" s="99">
        <v>39.593229831144498</v>
      </c>
      <c r="SI41" s="99">
        <v>39.657392120075102</v>
      </c>
      <c r="SJ41" s="99">
        <v>39.721554409005698</v>
      </c>
      <c r="SK41" s="99">
        <v>39.785716697936302</v>
      </c>
      <c r="SL41" s="99">
        <v>39.849878986866798</v>
      </c>
      <c r="SM41" s="99">
        <v>39.914041275797402</v>
      </c>
      <c r="SN41" s="99">
        <v>39.978203564727998</v>
      </c>
      <c r="SO41" s="99">
        <v>40.042365853658602</v>
      </c>
      <c r="SP41" s="99">
        <v>40.106528142589198</v>
      </c>
      <c r="SQ41" s="99">
        <v>40.170690431519802</v>
      </c>
      <c r="SR41" s="99">
        <v>40.234852720450299</v>
      </c>
      <c r="SS41" s="99">
        <v>40.299015009380902</v>
      </c>
      <c r="ST41" s="99">
        <v>40.363177298311498</v>
      </c>
      <c r="SU41" s="99">
        <v>40.427339587242102</v>
      </c>
      <c r="SV41" s="99">
        <v>40.491501876172698</v>
      </c>
      <c r="SW41" s="99">
        <v>40.555664165103202</v>
      </c>
      <c r="SX41" s="99">
        <v>40.619826454033799</v>
      </c>
      <c r="SY41" s="99">
        <v>40.683988742964402</v>
      </c>
      <c r="SZ41" s="99">
        <v>40.748151031894999</v>
      </c>
      <c r="TA41" s="99">
        <v>40.812313320825602</v>
      </c>
      <c r="TB41" s="99">
        <v>40.876475609756099</v>
      </c>
      <c r="TC41" s="99">
        <v>40.940637898686703</v>
      </c>
      <c r="TD41" s="99">
        <v>41.004800187617299</v>
      </c>
      <c r="TE41" s="99">
        <v>41.068962476547902</v>
      </c>
      <c r="TF41" s="99">
        <v>41.133124765478499</v>
      </c>
      <c r="TG41" s="99">
        <v>41.197287054409102</v>
      </c>
      <c r="TH41" s="99">
        <v>41.261449343339599</v>
      </c>
      <c r="TI41" s="99">
        <v>41.325611632270203</v>
      </c>
      <c r="TJ41" s="99">
        <v>41.389773921200799</v>
      </c>
      <c r="TK41" s="99">
        <v>41.453936210131403</v>
      </c>
      <c r="TL41" s="99">
        <v>41.518098499061999</v>
      </c>
      <c r="TM41" s="99">
        <v>41.582260787992603</v>
      </c>
      <c r="TN41" s="99">
        <v>41.646423076923099</v>
      </c>
      <c r="TO41" s="99">
        <v>41.710585365853703</v>
      </c>
      <c r="TP41" s="99">
        <v>41.774747654784299</v>
      </c>
      <c r="TQ41" s="99">
        <v>41.838909943714903</v>
      </c>
      <c r="TR41" s="99">
        <v>41.903072232645499</v>
      </c>
      <c r="TS41" s="99">
        <v>41.967234521576003</v>
      </c>
      <c r="TT41" s="99">
        <v>42.0313968105066</v>
      </c>
      <c r="TU41" s="99">
        <v>42.095559099437203</v>
      </c>
      <c r="TV41" s="99">
        <v>42.159721388367799</v>
      </c>
      <c r="TW41" s="99">
        <v>42.223883677298403</v>
      </c>
      <c r="TX41" s="99">
        <v>42.2880459662289</v>
      </c>
      <c r="TY41" s="99">
        <v>42.352208255159503</v>
      </c>
      <c r="TZ41" s="99">
        <v>42.4163705440901</v>
      </c>
      <c r="UA41" s="99">
        <v>42.480532833020703</v>
      </c>
      <c r="UB41" s="99">
        <v>42.5446951219513</v>
      </c>
      <c r="UC41" s="99">
        <v>42.608857410881903</v>
      </c>
      <c r="UD41" s="99">
        <v>42.6730196998124</v>
      </c>
      <c r="UE41" s="99">
        <v>42.737181988742996</v>
      </c>
      <c r="UF41" s="99">
        <v>42.8013442776736</v>
      </c>
      <c r="UG41" s="99">
        <v>42.865506566604203</v>
      </c>
      <c r="UH41" s="99">
        <v>42.9296688555348</v>
      </c>
      <c r="UI41" s="99">
        <v>42.993831144465297</v>
      </c>
      <c r="UJ41" s="99">
        <v>43.0579934333959</v>
      </c>
      <c r="UK41" s="99">
        <v>43.122155722326497</v>
      </c>
      <c r="UL41" s="99">
        <v>43.1863180112571</v>
      </c>
      <c r="UM41" s="99">
        <v>43.250480300187697</v>
      </c>
      <c r="UN41" s="99">
        <v>43.3146425891183</v>
      </c>
      <c r="UO41" s="99">
        <v>43.378804878048797</v>
      </c>
      <c r="UP41" s="99">
        <v>43.4429671669794</v>
      </c>
      <c r="UQ41" s="99">
        <v>43.507129455909997</v>
      </c>
      <c r="UR41" s="99">
        <v>43.5712917448406</v>
      </c>
      <c r="US41" s="99">
        <v>43.635454033771197</v>
      </c>
      <c r="UT41" s="99">
        <v>43.6996163227018</v>
      </c>
    </row>
    <row r="42" spans="1:566" x14ac:dyDescent="0.2">
      <c r="A42" s="89">
        <v>18</v>
      </c>
      <c r="B42" s="90">
        <v>7.43</v>
      </c>
      <c r="C42" s="90">
        <v>7.5</v>
      </c>
      <c r="D42" s="90">
        <v>7.56</v>
      </c>
      <c r="E42" s="90">
        <v>7.62</v>
      </c>
      <c r="F42" s="90">
        <v>7.69</v>
      </c>
      <c r="G42" s="90">
        <v>7.75</v>
      </c>
      <c r="H42" s="90">
        <v>7.81</v>
      </c>
      <c r="I42" s="90">
        <v>7.88</v>
      </c>
      <c r="J42" s="90">
        <v>7.94</v>
      </c>
      <c r="K42" s="90">
        <v>8.01</v>
      </c>
      <c r="L42" s="90">
        <v>8.07</v>
      </c>
      <c r="M42" s="90">
        <v>8.1300000000000008</v>
      </c>
      <c r="N42" s="90">
        <v>8.1999999999999993</v>
      </c>
      <c r="O42" s="90">
        <v>8.26</v>
      </c>
      <c r="P42" s="90">
        <v>8.32</v>
      </c>
      <c r="Q42" s="90">
        <v>8.39</v>
      </c>
      <c r="R42" s="90">
        <v>8.4499999999999993</v>
      </c>
      <c r="S42" s="90">
        <v>8.51</v>
      </c>
      <c r="T42" s="90">
        <v>8.58</v>
      </c>
      <c r="U42" s="91">
        <v>8.64</v>
      </c>
      <c r="V42" s="90">
        <v>8.6999999999999993</v>
      </c>
      <c r="W42" s="90">
        <v>8.77</v>
      </c>
      <c r="X42" s="90">
        <v>8.83</v>
      </c>
      <c r="Y42" s="90">
        <v>8.9</v>
      </c>
      <c r="Z42" s="90">
        <v>8.9600000000000009</v>
      </c>
      <c r="AA42" s="90">
        <v>9.02</v>
      </c>
      <c r="AB42" s="90">
        <v>9.09</v>
      </c>
      <c r="AC42" s="90">
        <v>9.15</v>
      </c>
      <c r="AD42" s="90">
        <v>9.2100000000000009</v>
      </c>
      <c r="AE42" s="90">
        <v>9.2799999999999994</v>
      </c>
      <c r="AF42" s="90">
        <v>9.34</v>
      </c>
      <c r="AG42" s="90">
        <v>9.4</v>
      </c>
      <c r="AH42" s="90">
        <v>9.4700000000000006</v>
      </c>
      <c r="AI42" s="90">
        <v>9.5299999999999994</v>
      </c>
      <c r="AJ42" s="90">
        <v>9.59</v>
      </c>
      <c r="AK42" s="90">
        <v>9.66</v>
      </c>
      <c r="AL42" s="90">
        <v>9.7200000000000006</v>
      </c>
      <c r="AM42" s="90">
        <v>9.7799999999999994</v>
      </c>
      <c r="AN42" s="90">
        <v>9.85</v>
      </c>
      <c r="AO42" s="91">
        <v>9.91</v>
      </c>
      <c r="AP42" s="90">
        <v>9.9751923076923106</v>
      </c>
      <c r="AQ42" s="90">
        <v>10.038738273921201</v>
      </c>
      <c r="AR42" s="90">
        <v>10.1022842401501</v>
      </c>
      <c r="AS42" s="90">
        <v>10.165830206379001</v>
      </c>
      <c r="AT42" s="90">
        <v>10.2293761726079</v>
      </c>
      <c r="AU42" s="90">
        <v>10.292922138836801</v>
      </c>
      <c r="AV42" s="90">
        <v>10.3564681050657</v>
      </c>
      <c r="AW42" s="90">
        <v>10.420014071294601</v>
      </c>
      <c r="AX42" s="90">
        <v>10.4835600375235</v>
      </c>
      <c r="AY42" s="90">
        <v>10.547106003752299</v>
      </c>
      <c r="AZ42" s="90">
        <v>10.6106519699812</v>
      </c>
      <c r="BA42" s="90">
        <v>10.674197936210099</v>
      </c>
      <c r="BB42" s="90">
        <v>10.737743902439</v>
      </c>
      <c r="BC42" s="90">
        <v>10.801289868667901</v>
      </c>
      <c r="BD42" s="90">
        <v>10.8648358348968</v>
      </c>
      <c r="BE42" s="90">
        <v>10.928381801125701</v>
      </c>
      <c r="BF42" s="90">
        <v>10.9919277673546</v>
      </c>
      <c r="BG42" s="90">
        <v>11.055473733583501</v>
      </c>
      <c r="BH42" s="90">
        <v>11.1190196998124</v>
      </c>
      <c r="BI42" s="91">
        <v>11.182565666041301</v>
      </c>
      <c r="BJ42" s="90">
        <v>11.2461116322702</v>
      </c>
      <c r="BK42" s="99">
        <v>11.309657598499101</v>
      </c>
      <c r="BL42" s="99">
        <v>11.373203564728</v>
      </c>
      <c r="BM42" s="99">
        <v>11.436749530956799</v>
      </c>
      <c r="BN42" s="99">
        <v>11.5002954971857</v>
      </c>
      <c r="BO42" s="99">
        <v>11.563841463414599</v>
      </c>
      <c r="BP42" s="99">
        <v>11.6273874296435</v>
      </c>
      <c r="BQ42" s="99">
        <v>11.690933395872401</v>
      </c>
      <c r="BR42" s="99">
        <v>11.7544793621013</v>
      </c>
      <c r="BS42" s="99">
        <v>11.818025328330201</v>
      </c>
      <c r="BT42" s="99">
        <v>11.8815712945591</v>
      </c>
      <c r="BU42" s="99">
        <v>11.945117260788001</v>
      </c>
      <c r="BV42" s="99">
        <v>12.0086632270169</v>
      </c>
      <c r="BW42" s="99">
        <v>12.072209193245801</v>
      </c>
      <c r="BX42" s="99">
        <v>12.1357551594747</v>
      </c>
      <c r="BY42" s="99">
        <v>12.199301125703601</v>
      </c>
      <c r="BZ42" s="99">
        <v>12.2628470919325</v>
      </c>
      <c r="CA42" s="99">
        <v>12.326393058161401</v>
      </c>
      <c r="CB42" s="99">
        <v>12.3899390243902</v>
      </c>
      <c r="CC42" s="99">
        <v>12.453484990619099</v>
      </c>
      <c r="CD42" s="99">
        <v>12.517030956848</v>
      </c>
      <c r="CE42" s="99">
        <v>12.580576923076899</v>
      </c>
      <c r="CF42" s="99">
        <v>12.6441228893058</v>
      </c>
      <c r="CG42" s="99">
        <v>12.707668855534701</v>
      </c>
      <c r="CH42" s="99">
        <v>12.7712148217636</v>
      </c>
      <c r="CI42" s="99">
        <v>12.834760787992501</v>
      </c>
      <c r="CJ42" s="99">
        <v>12.8983067542214</v>
      </c>
      <c r="CK42" s="99">
        <v>12.961852720450301</v>
      </c>
      <c r="CL42" s="99">
        <v>13.0253986866792</v>
      </c>
      <c r="CM42" s="99">
        <v>13.088944652908101</v>
      </c>
      <c r="CN42" s="99">
        <v>13.152490619137</v>
      </c>
      <c r="CO42" s="99">
        <v>13.216036585365901</v>
      </c>
      <c r="CP42" s="99">
        <v>13.2795825515947</v>
      </c>
      <c r="CQ42" s="99">
        <v>13.343128517823599</v>
      </c>
      <c r="CR42" s="99">
        <v>13.4066744840525</v>
      </c>
      <c r="CS42" s="99">
        <v>13.470220450281399</v>
      </c>
      <c r="CT42" s="99">
        <v>13.5337664165103</v>
      </c>
      <c r="CU42" s="99">
        <v>13.597312382739201</v>
      </c>
      <c r="CV42" s="99">
        <v>13.6608583489681</v>
      </c>
      <c r="CW42" s="99">
        <v>13.724404315197001</v>
      </c>
      <c r="CX42" s="99">
        <v>13.7879502814259</v>
      </c>
      <c r="CY42" s="99">
        <v>13.851496247654801</v>
      </c>
      <c r="CZ42" s="99">
        <v>13.9150422138837</v>
      </c>
      <c r="DA42" s="99">
        <v>13.978588180112601</v>
      </c>
      <c r="DB42" s="99">
        <v>14.0421341463415</v>
      </c>
      <c r="DC42" s="99">
        <v>14.105680112570401</v>
      </c>
      <c r="DD42" s="99">
        <v>14.1692260787993</v>
      </c>
      <c r="DE42" s="99">
        <v>14.232772045028099</v>
      </c>
      <c r="DF42" s="99">
        <v>14.296318011257</v>
      </c>
      <c r="DG42" s="99">
        <v>14.359863977485899</v>
      </c>
      <c r="DH42" s="99">
        <v>14.4234099437148</v>
      </c>
      <c r="DI42" s="99">
        <v>14.486955909943701</v>
      </c>
      <c r="DJ42" s="99">
        <v>14.5505018761726</v>
      </c>
      <c r="DK42" s="99">
        <v>14.614047842401501</v>
      </c>
      <c r="DL42" s="99">
        <v>14.6775938086304</v>
      </c>
      <c r="DM42" s="99">
        <v>14.741139774859301</v>
      </c>
      <c r="DN42" s="99">
        <v>14.8046857410882</v>
      </c>
      <c r="DO42" s="99">
        <v>14.868231707317101</v>
      </c>
      <c r="DP42" s="99">
        <v>14.931777673546</v>
      </c>
      <c r="DQ42" s="99">
        <v>14.995323639774901</v>
      </c>
      <c r="DR42" s="99">
        <v>15.0588696060038</v>
      </c>
      <c r="DS42" s="99">
        <v>15.122415572232599</v>
      </c>
      <c r="DT42" s="99">
        <v>15.1859615384615</v>
      </c>
      <c r="DU42" s="99">
        <v>15.249507504690399</v>
      </c>
      <c r="DV42" s="99">
        <v>15.3130534709193</v>
      </c>
      <c r="DW42" s="99">
        <v>15.376599437148201</v>
      </c>
      <c r="DX42" s="99">
        <v>15.4401454033771</v>
      </c>
      <c r="DY42" s="99">
        <v>15.503691369606001</v>
      </c>
      <c r="DZ42" s="99">
        <v>15.5672373358349</v>
      </c>
      <c r="EA42" s="99">
        <v>15.630783302063801</v>
      </c>
      <c r="EB42" s="99">
        <v>15.6943292682927</v>
      </c>
      <c r="EC42" s="99">
        <v>15.757875234521601</v>
      </c>
      <c r="ED42" s="99">
        <v>15.8214212007505</v>
      </c>
      <c r="EE42" s="99">
        <v>15.884967166979401</v>
      </c>
      <c r="EF42" s="99">
        <v>15.9485131332083</v>
      </c>
      <c r="EG42" s="99">
        <v>16.012059099437099</v>
      </c>
      <c r="EH42" s="99">
        <v>16.075605065666</v>
      </c>
      <c r="EI42" s="99">
        <v>16.139151031894901</v>
      </c>
      <c r="EJ42" s="99">
        <v>16.202696998123798</v>
      </c>
      <c r="EK42" s="99">
        <v>16.266242964352699</v>
      </c>
      <c r="EL42" s="99">
        <v>16.3297889305816</v>
      </c>
      <c r="EM42" s="99">
        <v>16.393334896810501</v>
      </c>
      <c r="EN42" s="99">
        <v>16.456880863039402</v>
      </c>
      <c r="EO42" s="99">
        <v>16.520426829268299</v>
      </c>
      <c r="EP42" s="99">
        <v>16.5839727954972</v>
      </c>
      <c r="EQ42" s="99">
        <v>16.647518761726101</v>
      </c>
      <c r="ER42" s="99">
        <v>16.711064727955002</v>
      </c>
      <c r="ES42" s="99">
        <v>16.774610694183899</v>
      </c>
      <c r="ET42" s="99">
        <v>16.8381566604128</v>
      </c>
      <c r="EU42" s="99">
        <v>16.901702626641701</v>
      </c>
      <c r="EV42" s="99">
        <v>16.965248592870498</v>
      </c>
      <c r="EW42" s="99">
        <v>17.028794559099399</v>
      </c>
      <c r="EX42" s="99">
        <v>17.0923405253283</v>
      </c>
      <c r="EY42" s="99">
        <v>17.155886491557201</v>
      </c>
      <c r="EZ42" s="99">
        <v>17.219432457786102</v>
      </c>
      <c r="FA42" s="99">
        <v>17.282978424014999</v>
      </c>
      <c r="FB42" s="99">
        <v>17.3465243902439</v>
      </c>
      <c r="FC42" s="99">
        <v>17.410070356472801</v>
      </c>
      <c r="FD42" s="99">
        <v>17.473616322701702</v>
      </c>
      <c r="FE42" s="99">
        <v>17.537162288930599</v>
      </c>
      <c r="FF42" s="99">
        <v>17.6007082551595</v>
      </c>
      <c r="FG42" s="99">
        <v>17.664254221388401</v>
      </c>
      <c r="FH42" s="99">
        <v>17.727800187617301</v>
      </c>
      <c r="FI42" s="99">
        <v>17.791346153846199</v>
      </c>
      <c r="FJ42" s="99">
        <v>17.8548921200751</v>
      </c>
      <c r="FK42" s="99">
        <v>17.918438086304</v>
      </c>
      <c r="FL42" s="99">
        <v>17.981984052532798</v>
      </c>
      <c r="FM42" s="99">
        <v>18.045530018761699</v>
      </c>
      <c r="FN42" s="99">
        <v>18.1090759849906</v>
      </c>
      <c r="FO42" s="99">
        <v>18.172621951219501</v>
      </c>
      <c r="FP42" s="99">
        <v>18.236167917448402</v>
      </c>
      <c r="FQ42" s="99">
        <v>18.299713883677299</v>
      </c>
      <c r="FR42" s="99">
        <v>18.3632598499062</v>
      </c>
      <c r="FS42" s="99">
        <v>18.426805816135101</v>
      </c>
      <c r="FT42" s="99">
        <v>18.490351782364002</v>
      </c>
      <c r="FU42" s="99">
        <v>18.553897748592899</v>
      </c>
      <c r="FV42" s="99">
        <v>18.6174437148218</v>
      </c>
      <c r="FW42" s="99">
        <v>18.680989681050701</v>
      </c>
      <c r="FX42" s="99">
        <v>18.744535647279601</v>
      </c>
      <c r="FY42" s="99">
        <v>18.808081613508499</v>
      </c>
      <c r="FZ42" s="99">
        <v>18.8716275797374</v>
      </c>
      <c r="GA42" s="99">
        <v>18.935173545966201</v>
      </c>
      <c r="GB42" s="99">
        <v>18.998719512195098</v>
      </c>
      <c r="GC42" s="99">
        <v>19.062265478423999</v>
      </c>
      <c r="GD42" s="99">
        <v>19.1258114446529</v>
      </c>
      <c r="GE42" s="99">
        <v>19.189357410881801</v>
      </c>
      <c r="GF42" s="99">
        <v>19.252903377110702</v>
      </c>
      <c r="GG42" s="99">
        <v>19.316449343339599</v>
      </c>
      <c r="GH42" s="99">
        <v>19.3799953095685</v>
      </c>
      <c r="GI42" s="99">
        <v>19.443541275797401</v>
      </c>
      <c r="GJ42" s="99">
        <v>19.507087242026302</v>
      </c>
      <c r="GK42" s="99">
        <v>19.570633208255199</v>
      </c>
      <c r="GL42" s="99">
        <v>19.6341791744841</v>
      </c>
      <c r="GM42" s="99">
        <v>19.697725140713001</v>
      </c>
      <c r="GN42" s="99">
        <v>19.761271106941901</v>
      </c>
      <c r="GO42" s="99">
        <v>19.824817073170699</v>
      </c>
      <c r="GP42" s="99">
        <v>19.8883630393996</v>
      </c>
      <c r="GQ42" s="99">
        <v>19.951909005628501</v>
      </c>
      <c r="GR42" s="99">
        <v>20.015454971857402</v>
      </c>
      <c r="GS42" s="99">
        <v>20.079000938086299</v>
      </c>
      <c r="GT42" s="99">
        <v>20.1425469043152</v>
      </c>
      <c r="GU42" s="99">
        <v>20.206092870544101</v>
      </c>
      <c r="GV42" s="99">
        <v>20.269638836773002</v>
      </c>
      <c r="GW42" s="99">
        <v>20.333184803001899</v>
      </c>
      <c r="GX42" s="99">
        <v>20.3967307692308</v>
      </c>
      <c r="GY42" s="99">
        <v>20.460276735459701</v>
      </c>
      <c r="GZ42" s="99">
        <v>20.523822701688601</v>
      </c>
      <c r="HA42" s="99">
        <v>20.587368667917499</v>
      </c>
      <c r="HB42" s="99">
        <v>20.6509146341464</v>
      </c>
      <c r="HC42" s="99">
        <v>20.7144606003753</v>
      </c>
      <c r="HD42" s="99">
        <v>20.778006566604098</v>
      </c>
      <c r="HE42" s="99">
        <v>20.841552532832999</v>
      </c>
      <c r="HF42" s="99">
        <v>20.9050984990619</v>
      </c>
      <c r="HG42" s="99">
        <v>20.968644465290801</v>
      </c>
      <c r="HH42" s="99">
        <v>21.032190431519702</v>
      </c>
      <c r="HI42" s="99">
        <v>21.095736397748599</v>
      </c>
      <c r="HJ42" s="99">
        <v>21.1592823639775</v>
      </c>
      <c r="HK42" s="99">
        <v>21.222828330206401</v>
      </c>
      <c r="HL42" s="99">
        <v>21.286374296435302</v>
      </c>
      <c r="HM42" s="99">
        <v>21.349920262664199</v>
      </c>
      <c r="HN42" s="99">
        <v>21.4134662288931</v>
      </c>
      <c r="HO42" s="99">
        <v>21.477012195122001</v>
      </c>
      <c r="HP42" s="99">
        <v>21.540558161350901</v>
      </c>
      <c r="HQ42" s="99">
        <v>21.604104127579799</v>
      </c>
      <c r="HR42" s="99">
        <v>21.6676500938086</v>
      </c>
      <c r="HS42" s="99">
        <v>21.731196060037501</v>
      </c>
      <c r="HT42" s="99">
        <v>21.794742026266398</v>
      </c>
      <c r="HU42" s="99">
        <v>21.858287992495299</v>
      </c>
      <c r="HV42" s="99">
        <v>21.9218339587242</v>
      </c>
      <c r="HW42" s="99">
        <v>21.985379924953101</v>
      </c>
      <c r="HX42" s="99">
        <v>22.048925891182002</v>
      </c>
      <c r="HY42" s="99">
        <v>22.112471857410899</v>
      </c>
      <c r="HZ42" s="99">
        <v>22.1760178236398</v>
      </c>
      <c r="IA42" s="99">
        <v>22.239563789868701</v>
      </c>
      <c r="IB42" s="99">
        <v>22.303109756097601</v>
      </c>
      <c r="IC42" s="99">
        <v>22.366655722326499</v>
      </c>
      <c r="ID42" s="99">
        <v>22.4302016885554</v>
      </c>
      <c r="IE42" s="99">
        <v>22.4937476547843</v>
      </c>
      <c r="IF42" s="99">
        <v>22.557293621013201</v>
      </c>
      <c r="IG42" s="99">
        <v>22.620839587241999</v>
      </c>
      <c r="IH42" s="99">
        <v>22.6843855534709</v>
      </c>
      <c r="II42" s="99">
        <v>22.747931519699801</v>
      </c>
      <c r="IJ42" s="99">
        <v>22.811477485928702</v>
      </c>
      <c r="IK42" s="99">
        <v>22.875023452157599</v>
      </c>
      <c r="IL42" s="99">
        <v>22.9385694183865</v>
      </c>
      <c r="IM42" s="99">
        <v>23.002115384615401</v>
      </c>
      <c r="IN42" s="99">
        <v>23.065661350844302</v>
      </c>
      <c r="IO42" s="99">
        <v>23.129207317073199</v>
      </c>
      <c r="IP42" s="99">
        <v>23.1927532833021</v>
      </c>
      <c r="IQ42" s="99">
        <v>23.256299249531001</v>
      </c>
      <c r="IR42" s="99">
        <v>23.319845215759901</v>
      </c>
      <c r="IS42" s="99">
        <v>23.383391181988799</v>
      </c>
      <c r="IT42" s="99">
        <v>23.4469371482177</v>
      </c>
      <c r="IU42" s="99">
        <v>23.510483114446501</v>
      </c>
      <c r="IV42" s="99">
        <v>23.574029080675398</v>
      </c>
      <c r="IW42" s="99">
        <v>23.637575046904299</v>
      </c>
      <c r="IX42" s="99">
        <v>23.7011210131332</v>
      </c>
      <c r="IY42" s="99">
        <v>23.764666979362101</v>
      </c>
      <c r="IZ42" s="99">
        <v>23.828212945591002</v>
      </c>
      <c r="JA42" s="99">
        <v>23.891758911819899</v>
      </c>
      <c r="JB42" s="99">
        <v>23.9553048780488</v>
      </c>
      <c r="JC42" s="99">
        <v>24.018850844277701</v>
      </c>
      <c r="JD42" s="99">
        <v>24.082396810506602</v>
      </c>
      <c r="JE42" s="99">
        <v>24.145942776735499</v>
      </c>
      <c r="JF42" s="99">
        <v>24.2094887429644</v>
      </c>
      <c r="JG42" s="99">
        <v>24.273034709193301</v>
      </c>
      <c r="JH42" s="99">
        <v>24.336580675422201</v>
      </c>
      <c r="JI42" s="99">
        <v>24.400126641650999</v>
      </c>
      <c r="JJ42" s="99">
        <v>24.4636726078799</v>
      </c>
      <c r="JK42" s="99">
        <v>24.527218574108801</v>
      </c>
      <c r="JL42" s="99">
        <v>24.590764540337702</v>
      </c>
      <c r="JM42" s="99">
        <v>24.654310506566599</v>
      </c>
      <c r="JN42" s="99">
        <v>24.7178564727955</v>
      </c>
      <c r="JO42" s="99">
        <v>24.781402439024401</v>
      </c>
      <c r="JP42" s="99">
        <v>24.844948405253302</v>
      </c>
      <c r="JQ42" s="99">
        <v>24.908494371482199</v>
      </c>
      <c r="JR42" s="99">
        <v>24.9720403377111</v>
      </c>
      <c r="JS42" s="99">
        <v>25.035586303940001</v>
      </c>
      <c r="JT42" s="99">
        <v>25.099132270168901</v>
      </c>
      <c r="JU42" s="99">
        <v>25.162678236397799</v>
      </c>
      <c r="JV42" s="99">
        <v>25.2262242026267</v>
      </c>
      <c r="JW42" s="99">
        <v>25.2897701688556</v>
      </c>
      <c r="JX42" s="99">
        <v>25.353316135084398</v>
      </c>
      <c r="JY42" s="99">
        <v>25.416862101313299</v>
      </c>
      <c r="JZ42" s="99">
        <v>25.4804080675422</v>
      </c>
      <c r="KA42" s="99">
        <v>25.543954033771101</v>
      </c>
      <c r="KB42" s="99">
        <v>25.607500000000002</v>
      </c>
      <c r="KC42" s="99">
        <v>25.671045966228899</v>
      </c>
      <c r="KD42" s="99">
        <v>25.7345919324578</v>
      </c>
      <c r="KE42" s="99">
        <v>25.798137898686701</v>
      </c>
      <c r="KF42" s="99">
        <v>25.861683864915602</v>
      </c>
      <c r="KG42" s="99">
        <v>25.925229831144499</v>
      </c>
      <c r="KH42" s="99">
        <v>25.9887757973734</v>
      </c>
      <c r="KI42" s="99">
        <v>26.052321763602301</v>
      </c>
      <c r="KJ42" s="99">
        <v>26.115867729831201</v>
      </c>
      <c r="KK42" s="99">
        <v>26.179413696060099</v>
      </c>
      <c r="KL42" s="99">
        <v>26.2429596622889</v>
      </c>
      <c r="KM42" s="99">
        <v>26.306505628517801</v>
      </c>
      <c r="KN42" s="99">
        <v>26.370051594746698</v>
      </c>
      <c r="KO42" s="99">
        <v>26.433597560975599</v>
      </c>
      <c r="KP42" s="99">
        <v>26.4971435272045</v>
      </c>
      <c r="KQ42" s="99">
        <v>26.560689493433401</v>
      </c>
      <c r="KR42" s="99">
        <v>26.624235459662302</v>
      </c>
      <c r="KS42" s="99">
        <v>26.687781425891199</v>
      </c>
      <c r="KT42" s="99">
        <v>26.7513273921201</v>
      </c>
      <c r="KU42" s="99">
        <v>26.814873358349001</v>
      </c>
      <c r="KV42" s="99">
        <v>26.878419324577902</v>
      </c>
      <c r="KW42" s="99">
        <v>26.941965290806799</v>
      </c>
      <c r="KX42" s="99">
        <v>27.0055112570357</v>
      </c>
      <c r="KY42" s="99">
        <v>27.069057223264601</v>
      </c>
      <c r="KZ42" s="99">
        <v>27.132603189493501</v>
      </c>
      <c r="LA42" s="99">
        <v>27.196149155722299</v>
      </c>
      <c r="LB42" s="99">
        <v>27.2596951219512</v>
      </c>
      <c r="LC42" s="99">
        <v>27.323241088180101</v>
      </c>
      <c r="LD42" s="99">
        <v>27.386787054409002</v>
      </c>
      <c r="LE42" s="99">
        <v>27.450333020637899</v>
      </c>
      <c r="LF42" s="99">
        <v>27.5138789868668</v>
      </c>
      <c r="LG42" s="99">
        <v>27.577424953095701</v>
      </c>
      <c r="LH42" s="99">
        <v>27.640970919324602</v>
      </c>
      <c r="LI42" s="99">
        <v>27.704516885553499</v>
      </c>
      <c r="LJ42" s="99">
        <v>27.7680628517824</v>
      </c>
      <c r="LK42" s="99">
        <v>27.831608818011301</v>
      </c>
      <c r="LL42" s="99">
        <v>27.895154784240201</v>
      </c>
      <c r="LM42" s="99">
        <v>27.958700750469099</v>
      </c>
      <c r="LN42" s="99">
        <v>28.022246716698</v>
      </c>
      <c r="LO42" s="99">
        <v>28.085792682926801</v>
      </c>
      <c r="LP42" s="99">
        <v>28.149338649155698</v>
      </c>
      <c r="LQ42" s="99">
        <v>28.212884615384599</v>
      </c>
      <c r="LR42" s="99">
        <v>28.2764305816135</v>
      </c>
      <c r="LS42" s="99">
        <v>28.339976547842401</v>
      </c>
      <c r="LT42" s="99">
        <v>28.403522514071302</v>
      </c>
      <c r="LU42" s="99">
        <v>28.467068480300199</v>
      </c>
      <c r="LV42" s="99">
        <v>28.5306144465291</v>
      </c>
      <c r="LW42" s="99">
        <v>28.594160412758001</v>
      </c>
      <c r="LX42" s="99">
        <v>28.657706378986902</v>
      </c>
      <c r="LY42" s="99">
        <v>28.721252345215799</v>
      </c>
      <c r="LZ42" s="99">
        <v>28.7847983114447</v>
      </c>
      <c r="MA42" s="99">
        <v>28.848344277673601</v>
      </c>
      <c r="MB42" s="99">
        <v>28.911890243902501</v>
      </c>
      <c r="MC42" s="99">
        <v>28.975436210131299</v>
      </c>
      <c r="MD42" s="99">
        <v>29.0389821763602</v>
      </c>
      <c r="ME42" s="99">
        <v>29.102528142589101</v>
      </c>
      <c r="MF42" s="99">
        <v>29.166074108818002</v>
      </c>
      <c r="MG42" s="99">
        <v>29.229620075046899</v>
      </c>
      <c r="MH42" s="99">
        <v>29.2931660412758</v>
      </c>
      <c r="MI42" s="99">
        <v>29.356712007504701</v>
      </c>
      <c r="MJ42" s="99">
        <v>29.420257973733602</v>
      </c>
      <c r="MK42" s="99">
        <v>29.483803939962499</v>
      </c>
      <c r="ML42" s="99">
        <v>29.5473499061914</v>
      </c>
      <c r="MM42" s="99">
        <v>29.610895872420301</v>
      </c>
      <c r="MN42" s="99">
        <v>29.674441838649201</v>
      </c>
      <c r="MO42" s="99">
        <v>29.737987804878099</v>
      </c>
      <c r="MP42" s="99">
        <v>29.801533771107</v>
      </c>
      <c r="MQ42" s="99">
        <v>29.8650797373359</v>
      </c>
      <c r="MR42" s="99">
        <v>29.928625703564698</v>
      </c>
      <c r="MS42" s="99">
        <v>29.992171669793599</v>
      </c>
      <c r="MT42" s="99">
        <v>30.0557176360225</v>
      </c>
      <c r="MU42" s="99">
        <v>30.119263602251401</v>
      </c>
      <c r="MV42" s="99">
        <v>30.182809568480302</v>
      </c>
      <c r="MW42" s="99">
        <v>30.246355534709199</v>
      </c>
      <c r="MX42" s="99">
        <v>30.3099015009381</v>
      </c>
      <c r="MY42" s="99">
        <v>30.373447467167001</v>
      </c>
      <c r="MZ42" s="99">
        <v>30.436993433395902</v>
      </c>
      <c r="NA42" s="99">
        <v>30.500539399624799</v>
      </c>
      <c r="NB42" s="99">
        <v>30.5640853658537</v>
      </c>
      <c r="NC42" s="99">
        <v>30.627631332082601</v>
      </c>
      <c r="ND42" s="99">
        <v>30.691177298311501</v>
      </c>
      <c r="NE42" s="99">
        <v>30.754723264540399</v>
      </c>
      <c r="NF42" s="99">
        <v>30.8182692307693</v>
      </c>
      <c r="NG42" s="99">
        <v>30.881815196998101</v>
      </c>
      <c r="NH42" s="99">
        <v>30.945361163226998</v>
      </c>
      <c r="NI42" s="99">
        <v>31.008907129455899</v>
      </c>
      <c r="NJ42" s="99">
        <v>31.0724530956848</v>
      </c>
      <c r="NK42" s="99">
        <v>31.135999061913701</v>
      </c>
      <c r="NL42" s="99">
        <v>31.199545028142602</v>
      </c>
      <c r="NM42" s="99">
        <v>31.263090994371499</v>
      </c>
      <c r="NN42" s="99">
        <v>31.3266369606004</v>
      </c>
      <c r="NO42" s="99">
        <v>31.390182926829301</v>
      </c>
      <c r="NP42" s="99">
        <v>31.453728893058202</v>
      </c>
      <c r="NQ42" s="99">
        <v>31.517274859287099</v>
      </c>
      <c r="NR42" s="99">
        <v>31.580820825516</v>
      </c>
      <c r="NS42" s="99">
        <v>31.644366791744901</v>
      </c>
      <c r="NT42" s="99">
        <v>31.707912757973801</v>
      </c>
      <c r="NU42" s="99">
        <v>31.771458724202599</v>
      </c>
      <c r="NV42" s="99">
        <v>31.8350046904315</v>
      </c>
      <c r="NW42" s="99">
        <v>31.898550656660401</v>
      </c>
      <c r="NX42" s="99">
        <v>31.962096622889302</v>
      </c>
      <c r="NY42" s="99">
        <v>32.025642589118199</v>
      </c>
      <c r="NZ42" s="99">
        <v>32.0891885553471</v>
      </c>
      <c r="OA42" s="99">
        <v>32.152734521576001</v>
      </c>
      <c r="OB42" s="99">
        <v>32.216280487804902</v>
      </c>
      <c r="OC42" s="99">
        <v>32.279826454033802</v>
      </c>
      <c r="OD42" s="99">
        <v>32.343372420262703</v>
      </c>
      <c r="OE42" s="99">
        <v>32.406918386491597</v>
      </c>
      <c r="OF42" s="99">
        <v>32.470464352720498</v>
      </c>
      <c r="OG42" s="99">
        <v>32.534010318949399</v>
      </c>
      <c r="OH42" s="99">
        <v>32.5975562851783</v>
      </c>
      <c r="OI42" s="99">
        <v>32.661102251407101</v>
      </c>
      <c r="OJ42" s="99">
        <v>32.724648217636002</v>
      </c>
      <c r="OK42" s="99">
        <v>32.788194183864903</v>
      </c>
      <c r="OL42" s="99">
        <v>32.851740150093804</v>
      </c>
      <c r="OM42" s="99">
        <v>32.915286116322697</v>
      </c>
      <c r="ON42" s="99">
        <v>32.978832082551598</v>
      </c>
      <c r="OO42" s="99">
        <v>33.042378048780499</v>
      </c>
      <c r="OP42" s="99">
        <v>33.1059240150094</v>
      </c>
      <c r="OQ42" s="99">
        <v>33.169469981238301</v>
      </c>
      <c r="OR42" s="99">
        <v>33.233015947467202</v>
      </c>
      <c r="OS42" s="99">
        <v>33.296561913696102</v>
      </c>
      <c r="OT42" s="99">
        <v>33.360107879925003</v>
      </c>
      <c r="OU42" s="99">
        <v>33.423653846153897</v>
      </c>
      <c r="OV42" s="99">
        <v>33.487199812382798</v>
      </c>
      <c r="OW42" s="99">
        <v>33.550745778611599</v>
      </c>
      <c r="OX42" s="99">
        <v>33.6142917448405</v>
      </c>
      <c r="OY42" s="99">
        <v>33.677837711069401</v>
      </c>
      <c r="OZ42" s="99">
        <v>33.741383677298302</v>
      </c>
      <c r="PA42" s="99">
        <v>33.804929643527203</v>
      </c>
      <c r="PB42" s="99">
        <v>33.868475609756103</v>
      </c>
      <c r="PC42" s="99">
        <v>33.932021575984997</v>
      </c>
      <c r="PD42" s="99">
        <v>33.995567542213898</v>
      </c>
      <c r="PE42" s="99">
        <v>34.059113508442799</v>
      </c>
      <c r="PF42" s="99">
        <v>34.1226594746717</v>
      </c>
      <c r="PG42" s="99">
        <v>34.186205440900601</v>
      </c>
      <c r="PH42" s="99">
        <v>34.249751407129502</v>
      </c>
      <c r="PI42" s="99">
        <v>34.313297373358402</v>
      </c>
      <c r="PJ42" s="99">
        <v>34.376843339587303</v>
      </c>
      <c r="PK42" s="99">
        <v>34.440389305816197</v>
      </c>
      <c r="PL42" s="99">
        <v>34.503935272044998</v>
      </c>
      <c r="PM42" s="99">
        <v>34.567481238273899</v>
      </c>
      <c r="PN42" s="99">
        <v>34.6310272045028</v>
      </c>
      <c r="PO42" s="99">
        <v>34.694573170731701</v>
      </c>
      <c r="PP42" s="99">
        <v>34.758119136960602</v>
      </c>
      <c r="PQ42" s="99">
        <v>34.821665103189503</v>
      </c>
      <c r="PR42" s="99">
        <v>34.885211069418403</v>
      </c>
      <c r="PS42" s="99">
        <v>34.948757035647297</v>
      </c>
      <c r="PT42" s="99">
        <v>35.012303001876198</v>
      </c>
      <c r="PU42" s="99">
        <v>35.075848968105099</v>
      </c>
      <c r="PV42" s="99">
        <v>35.139394934334</v>
      </c>
      <c r="PW42" s="99">
        <v>35.202940900562901</v>
      </c>
      <c r="PX42" s="99">
        <v>35.266486866791801</v>
      </c>
      <c r="PY42" s="99">
        <v>35.330032833020702</v>
      </c>
      <c r="PZ42" s="99">
        <v>35.393578799249603</v>
      </c>
      <c r="QA42" s="99">
        <v>35.457124765478397</v>
      </c>
      <c r="QB42" s="99">
        <v>35.520670731707298</v>
      </c>
      <c r="QC42" s="99">
        <v>35.584216697936199</v>
      </c>
      <c r="QD42" s="99">
        <v>35.6477626641651</v>
      </c>
      <c r="QE42" s="99">
        <v>35.711308630394001</v>
      </c>
      <c r="QF42" s="99">
        <v>35.774854596622902</v>
      </c>
      <c r="QG42" s="99">
        <v>35.838400562851803</v>
      </c>
      <c r="QH42" s="99">
        <v>35.901946529080703</v>
      </c>
      <c r="QI42" s="99">
        <v>35.965492495309597</v>
      </c>
      <c r="QJ42" s="99">
        <v>36.029038461538498</v>
      </c>
      <c r="QK42" s="99">
        <v>36.092584427767399</v>
      </c>
      <c r="QL42" s="99">
        <v>36.1561303939963</v>
      </c>
      <c r="QM42" s="99">
        <v>36.219676360225201</v>
      </c>
      <c r="QN42" s="99">
        <v>36.283222326454101</v>
      </c>
      <c r="QO42" s="99">
        <v>36.346768292682903</v>
      </c>
      <c r="QP42" s="99">
        <v>36.410314258911797</v>
      </c>
      <c r="QQ42" s="99">
        <v>36.473860225140697</v>
      </c>
      <c r="QR42" s="99">
        <v>36.537406191369598</v>
      </c>
      <c r="QS42" s="99">
        <v>36.600952157598499</v>
      </c>
      <c r="QT42" s="99">
        <v>36.6644981238274</v>
      </c>
      <c r="QU42" s="99">
        <v>36.728044090056301</v>
      </c>
      <c r="QV42" s="99">
        <v>36.791590056285202</v>
      </c>
      <c r="QW42" s="99">
        <v>36.855136022514102</v>
      </c>
      <c r="QX42" s="99">
        <v>36.918681988743003</v>
      </c>
      <c r="QY42" s="99">
        <v>36.982227954971897</v>
      </c>
      <c r="QZ42" s="99">
        <v>37.045773921200798</v>
      </c>
      <c r="RA42" s="99">
        <v>37.109319887429699</v>
      </c>
      <c r="RB42" s="99">
        <v>37.1728658536586</v>
      </c>
      <c r="RC42" s="99">
        <v>37.236411819887401</v>
      </c>
      <c r="RD42" s="99">
        <v>37.299957786116302</v>
      </c>
      <c r="RE42" s="99">
        <v>37.363503752345203</v>
      </c>
      <c r="RF42" s="99">
        <v>37.427049718574096</v>
      </c>
      <c r="RG42" s="99">
        <v>37.490595684802997</v>
      </c>
      <c r="RH42" s="99">
        <v>37.554141651031898</v>
      </c>
      <c r="RI42" s="99">
        <v>37.617687617260799</v>
      </c>
      <c r="RJ42" s="99">
        <v>37.6812335834897</v>
      </c>
      <c r="RK42" s="99">
        <v>37.744779549718601</v>
      </c>
      <c r="RL42" s="99">
        <v>37.808325515947502</v>
      </c>
      <c r="RM42" s="99">
        <v>37.871871482176402</v>
      </c>
      <c r="RN42" s="99">
        <v>37.935417448405303</v>
      </c>
      <c r="RO42" s="99">
        <v>37.998963414634197</v>
      </c>
      <c r="RP42" s="99">
        <v>38.062509380863098</v>
      </c>
      <c r="RQ42" s="99">
        <v>38.126055347091999</v>
      </c>
      <c r="RR42" s="99">
        <v>38.1896013133208</v>
      </c>
      <c r="RS42" s="99">
        <v>38.253147279549701</v>
      </c>
      <c r="RT42" s="99">
        <v>38.316693245778602</v>
      </c>
      <c r="RU42" s="99">
        <v>38.380239212007503</v>
      </c>
      <c r="RV42" s="99">
        <v>38.443785178236404</v>
      </c>
      <c r="RW42" s="99">
        <v>38.507331144465297</v>
      </c>
      <c r="RX42" s="99">
        <v>38.570877110694198</v>
      </c>
      <c r="RY42" s="99">
        <v>38.634423076923099</v>
      </c>
      <c r="RZ42" s="99">
        <v>38.697969043152</v>
      </c>
      <c r="SA42" s="99">
        <v>38.761515009380901</v>
      </c>
      <c r="SB42" s="99">
        <v>38.825060975609802</v>
      </c>
      <c r="SC42" s="99">
        <v>38.888606941838702</v>
      </c>
      <c r="SD42" s="99">
        <v>38.952152908067603</v>
      </c>
      <c r="SE42" s="99">
        <v>39.015698874296497</v>
      </c>
      <c r="SF42" s="99">
        <v>39.079244840525298</v>
      </c>
      <c r="SG42" s="99">
        <v>39.142790806754199</v>
      </c>
      <c r="SH42" s="99">
        <v>39.2063367729831</v>
      </c>
      <c r="SI42" s="99">
        <v>39.269882739212001</v>
      </c>
      <c r="SJ42" s="99">
        <v>39.333428705440902</v>
      </c>
      <c r="SK42" s="99">
        <v>39.396974671669803</v>
      </c>
      <c r="SL42" s="99">
        <v>39.460520637898703</v>
      </c>
      <c r="SM42" s="99">
        <v>39.524066604127597</v>
      </c>
      <c r="SN42" s="99">
        <v>39.587612570356498</v>
      </c>
      <c r="SO42" s="99">
        <v>39.651158536585399</v>
      </c>
      <c r="SP42" s="99">
        <v>39.7147045028143</v>
      </c>
      <c r="SQ42" s="99">
        <v>39.778250469043201</v>
      </c>
      <c r="SR42" s="99">
        <v>39.841796435272101</v>
      </c>
      <c r="SS42" s="99">
        <v>39.905342401501002</v>
      </c>
      <c r="ST42" s="99">
        <v>39.968888367729903</v>
      </c>
      <c r="SU42" s="99">
        <v>40.032434333958697</v>
      </c>
      <c r="SV42" s="99">
        <v>40.095980300187598</v>
      </c>
      <c r="SW42" s="99">
        <v>40.159526266416499</v>
      </c>
      <c r="SX42" s="99">
        <v>40.2230722326454</v>
      </c>
      <c r="SY42" s="99">
        <v>40.286618198874301</v>
      </c>
      <c r="SZ42" s="99">
        <v>40.350164165103202</v>
      </c>
      <c r="TA42" s="99">
        <v>40.413710131332103</v>
      </c>
      <c r="TB42" s="99">
        <v>40.477256097561003</v>
      </c>
      <c r="TC42" s="99">
        <v>40.540802063789897</v>
      </c>
      <c r="TD42" s="99">
        <v>40.604348030018798</v>
      </c>
      <c r="TE42" s="99">
        <v>40.667893996247699</v>
      </c>
      <c r="TF42" s="99">
        <v>40.7314399624766</v>
      </c>
      <c r="TG42" s="99">
        <v>40.794985928705501</v>
      </c>
      <c r="TH42" s="99">
        <v>40.858531894934401</v>
      </c>
      <c r="TI42" s="99">
        <v>40.922077861163203</v>
      </c>
      <c r="TJ42" s="99">
        <v>40.985623827392097</v>
      </c>
      <c r="TK42" s="99">
        <v>41.049169793620997</v>
      </c>
      <c r="TL42" s="99">
        <v>41.112715759849898</v>
      </c>
      <c r="TM42" s="99">
        <v>41.176261726078799</v>
      </c>
      <c r="TN42" s="99">
        <v>41.2398076923077</v>
      </c>
      <c r="TO42" s="99">
        <v>41.303353658536601</v>
      </c>
      <c r="TP42" s="99">
        <v>41.366899624765502</v>
      </c>
      <c r="TQ42" s="99">
        <v>41.430445590994402</v>
      </c>
      <c r="TR42" s="99">
        <v>41.493991557223303</v>
      </c>
      <c r="TS42" s="99">
        <v>41.557537523452197</v>
      </c>
      <c r="TT42" s="99">
        <v>41.621083489681098</v>
      </c>
      <c r="TU42" s="99">
        <v>41.684629455909999</v>
      </c>
      <c r="TV42" s="99">
        <v>41.7481754221389</v>
      </c>
      <c r="TW42" s="99">
        <v>41.811721388367701</v>
      </c>
      <c r="TX42" s="99">
        <v>41.875267354596602</v>
      </c>
      <c r="TY42" s="99">
        <v>41.938813320825503</v>
      </c>
      <c r="TZ42" s="99">
        <v>42.002359287054396</v>
      </c>
      <c r="UA42" s="99">
        <v>42.065905253283297</v>
      </c>
      <c r="UB42" s="99">
        <v>42.129451219512198</v>
      </c>
      <c r="UC42" s="99">
        <v>42.192997185741099</v>
      </c>
      <c r="UD42" s="99">
        <v>42.25654315197</v>
      </c>
      <c r="UE42" s="99">
        <v>42.320089118198901</v>
      </c>
      <c r="UF42" s="99">
        <v>42.383635084427802</v>
      </c>
      <c r="UG42" s="99">
        <v>42.447181050656702</v>
      </c>
      <c r="UH42" s="99">
        <v>42.510727016885603</v>
      </c>
      <c r="UI42" s="99">
        <v>42.574272983114497</v>
      </c>
      <c r="UJ42" s="99">
        <v>42.637818949343398</v>
      </c>
      <c r="UK42" s="99">
        <v>42.701364915572299</v>
      </c>
      <c r="UL42" s="99">
        <v>42.7649108818011</v>
      </c>
      <c r="UM42" s="99">
        <v>42.828456848030001</v>
      </c>
      <c r="UN42" s="99">
        <v>42.892002814258902</v>
      </c>
      <c r="UO42" s="99">
        <v>42.955548780487803</v>
      </c>
      <c r="UP42" s="99">
        <v>43.019094746716704</v>
      </c>
      <c r="UQ42" s="99">
        <v>43.082640712945597</v>
      </c>
      <c r="UR42" s="99">
        <v>43.146186679174498</v>
      </c>
      <c r="US42" s="99">
        <v>43.209732645403399</v>
      </c>
      <c r="UT42" s="99">
        <v>43.2732786116323</v>
      </c>
    </row>
    <row r="43" spans="1:566" x14ac:dyDescent="0.2">
      <c r="A43" s="89">
        <v>18.5</v>
      </c>
      <c r="B43" s="90">
        <v>7.36</v>
      </c>
      <c r="C43" s="90">
        <v>7.42</v>
      </c>
      <c r="D43" s="90">
        <v>7.48</v>
      </c>
      <c r="E43" s="90">
        <v>7.55</v>
      </c>
      <c r="F43" s="90">
        <v>7.61</v>
      </c>
      <c r="G43" s="90">
        <v>7.67</v>
      </c>
      <c r="H43" s="90">
        <v>7.73</v>
      </c>
      <c r="I43" s="90">
        <v>7.8</v>
      </c>
      <c r="J43" s="90">
        <v>7.86</v>
      </c>
      <c r="K43" s="90">
        <v>7.92</v>
      </c>
      <c r="L43" s="90">
        <v>7.99</v>
      </c>
      <c r="M43" s="90">
        <v>8.0500000000000007</v>
      </c>
      <c r="N43" s="90">
        <v>8.11</v>
      </c>
      <c r="O43" s="90">
        <v>8.18</v>
      </c>
      <c r="P43" s="90">
        <v>8.24</v>
      </c>
      <c r="Q43" s="90">
        <v>8.3000000000000007</v>
      </c>
      <c r="R43" s="90">
        <v>8.36</v>
      </c>
      <c r="S43" s="90">
        <v>8.43</v>
      </c>
      <c r="T43" s="90">
        <v>8.49</v>
      </c>
      <c r="U43" s="91">
        <v>8.5500000000000007</v>
      </c>
      <c r="V43" s="90">
        <v>8.6199999999999992</v>
      </c>
      <c r="W43" s="90">
        <v>8.68</v>
      </c>
      <c r="X43" s="90">
        <v>8.74</v>
      </c>
      <c r="Y43" s="90">
        <v>8.8000000000000007</v>
      </c>
      <c r="Z43" s="90">
        <v>8.8699999999999992</v>
      </c>
      <c r="AA43" s="90">
        <v>8.93</v>
      </c>
      <c r="AB43" s="90">
        <v>8.99</v>
      </c>
      <c r="AC43" s="90">
        <v>9.06</v>
      </c>
      <c r="AD43" s="90">
        <v>9.1199999999999992</v>
      </c>
      <c r="AE43" s="90">
        <v>9.18</v>
      </c>
      <c r="AF43" s="90">
        <v>9.24</v>
      </c>
      <c r="AG43" s="90">
        <v>9.31</v>
      </c>
      <c r="AH43" s="90">
        <v>9.3699999999999992</v>
      </c>
      <c r="AI43" s="90">
        <v>9.43</v>
      </c>
      <c r="AJ43" s="90">
        <v>9.5</v>
      </c>
      <c r="AK43" s="90">
        <v>9.56</v>
      </c>
      <c r="AL43" s="90">
        <v>9.6199999999999992</v>
      </c>
      <c r="AM43" s="90">
        <v>9.69</v>
      </c>
      <c r="AN43" s="90">
        <v>9.75</v>
      </c>
      <c r="AO43" s="91">
        <v>9.81</v>
      </c>
      <c r="AP43" s="90">
        <v>9.8741153846153793</v>
      </c>
      <c r="AQ43" s="90">
        <v>9.9370356472795507</v>
      </c>
      <c r="AR43" s="90">
        <v>9.9999559099437096</v>
      </c>
      <c r="AS43" s="90">
        <v>10.062876172607901</v>
      </c>
      <c r="AT43" s="90">
        <v>10.125796435271999</v>
      </c>
      <c r="AU43" s="90">
        <v>10.188716697936201</v>
      </c>
      <c r="AV43" s="90">
        <v>10.251636960600401</v>
      </c>
      <c r="AW43" s="90">
        <v>10.314557223264501</v>
      </c>
      <c r="AX43" s="90">
        <v>10.377477485928701</v>
      </c>
      <c r="AY43" s="90">
        <v>10.4403977485929</v>
      </c>
      <c r="AZ43" s="90">
        <v>10.503318011257001</v>
      </c>
      <c r="BA43" s="90">
        <v>10.566238273921201</v>
      </c>
      <c r="BB43" s="90">
        <v>10.6291585365854</v>
      </c>
      <c r="BC43" s="90">
        <v>10.692078799249501</v>
      </c>
      <c r="BD43" s="90">
        <v>10.754999061913701</v>
      </c>
      <c r="BE43" s="90">
        <v>10.8179193245779</v>
      </c>
      <c r="BF43" s="90">
        <v>10.880839587242001</v>
      </c>
      <c r="BG43" s="90">
        <v>10.943759849906201</v>
      </c>
      <c r="BH43" s="90">
        <v>11.0066801125704</v>
      </c>
      <c r="BI43" s="91">
        <v>11.069600375234501</v>
      </c>
      <c r="BJ43" s="90">
        <v>11.1325206378987</v>
      </c>
      <c r="BK43" s="99">
        <v>11.1954409005629</v>
      </c>
      <c r="BL43" s="99">
        <v>11.258361163227001</v>
      </c>
      <c r="BM43" s="99">
        <v>11.3212814258912</v>
      </c>
      <c r="BN43" s="99">
        <v>11.3842016885554</v>
      </c>
      <c r="BO43" s="99">
        <v>11.447121951219501</v>
      </c>
      <c r="BP43" s="99">
        <v>11.5100422138837</v>
      </c>
      <c r="BQ43" s="99">
        <v>11.572962476547801</v>
      </c>
      <c r="BR43" s="99">
        <v>11.635882739212001</v>
      </c>
      <c r="BS43" s="99">
        <v>11.6988030018762</v>
      </c>
      <c r="BT43" s="99">
        <v>11.761723264540301</v>
      </c>
      <c r="BU43" s="99">
        <v>11.824643527204501</v>
      </c>
      <c r="BV43" s="99">
        <v>11.8875637898687</v>
      </c>
      <c r="BW43" s="99">
        <v>11.950484052532801</v>
      </c>
      <c r="BX43" s="99">
        <v>12.013404315197</v>
      </c>
      <c r="BY43" s="99">
        <v>12.0763245778612</v>
      </c>
      <c r="BZ43" s="99">
        <v>12.139244840525301</v>
      </c>
      <c r="CA43" s="99">
        <v>12.2021651031895</v>
      </c>
      <c r="CB43" s="99">
        <v>12.2650853658537</v>
      </c>
      <c r="CC43" s="99">
        <v>12.328005628517801</v>
      </c>
      <c r="CD43" s="99">
        <v>12.390925891182</v>
      </c>
      <c r="CE43" s="99">
        <v>12.4538461538462</v>
      </c>
      <c r="CF43" s="99">
        <v>12.516766416510301</v>
      </c>
      <c r="CG43" s="99">
        <v>12.5796866791745</v>
      </c>
      <c r="CH43" s="99">
        <v>12.6426069418387</v>
      </c>
      <c r="CI43" s="99">
        <v>12.7055272045028</v>
      </c>
      <c r="CJ43" s="99">
        <v>12.768447467167</v>
      </c>
      <c r="CK43" s="99">
        <v>12.8313677298312</v>
      </c>
      <c r="CL43" s="99">
        <v>12.8942879924953</v>
      </c>
      <c r="CM43" s="99">
        <v>12.9572082551595</v>
      </c>
      <c r="CN43" s="99">
        <v>13.020128517823601</v>
      </c>
      <c r="CO43" s="99">
        <v>13.0830487804878</v>
      </c>
      <c r="CP43" s="99">
        <v>13.145969043152</v>
      </c>
      <c r="CQ43" s="99">
        <v>13.208889305816101</v>
      </c>
      <c r="CR43" s="99">
        <v>13.2718095684803</v>
      </c>
      <c r="CS43" s="99">
        <v>13.3347298311445</v>
      </c>
      <c r="CT43" s="99">
        <v>13.397650093808601</v>
      </c>
      <c r="CU43" s="99">
        <v>13.4605703564728</v>
      </c>
      <c r="CV43" s="99">
        <v>13.523490619137</v>
      </c>
      <c r="CW43" s="99">
        <v>13.5864108818011</v>
      </c>
      <c r="CX43" s="99">
        <v>13.6493311444653</v>
      </c>
      <c r="CY43" s="99">
        <v>13.7122514071295</v>
      </c>
      <c r="CZ43" s="99">
        <v>13.7751716697936</v>
      </c>
      <c r="DA43" s="99">
        <v>13.8380919324578</v>
      </c>
      <c r="DB43" s="99">
        <v>13.901012195122</v>
      </c>
      <c r="DC43" s="99">
        <v>13.9639324577861</v>
      </c>
      <c r="DD43" s="99">
        <v>14.0268527204503</v>
      </c>
      <c r="DE43" s="99">
        <v>14.0897729831145</v>
      </c>
      <c r="DF43" s="99">
        <v>14.1526932457786</v>
      </c>
      <c r="DG43" s="99">
        <v>14.2156135084428</v>
      </c>
      <c r="DH43" s="99">
        <v>14.2785337711069</v>
      </c>
      <c r="DI43" s="99">
        <v>14.3414540337711</v>
      </c>
      <c r="DJ43" s="99">
        <v>14.4043742964353</v>
      </c>
      <c r="DK43" s="99">
        <v>14.4672945590994</v>
      </c>
      <c r="DL43" s="99">
        <v>14.5302148217636</v>
      </c>
      <c r="DM43" s="99">
        <v>14.5931350844278</v>
      </c>
      <c r="DN43" s="99">
        <v>14.6560553470919</v>
      </c>
      <c r="DO43" s="99">
        <v>14.7189756097561</v>
      </c>
      <c r="DP43" s="99">
        <v>14.7818958724203</v>
      </c>
      <c r="DQ43" s="99">
        <v>14.8448161350844</v>
      </c>
      <c r="DR43" s="99">
        <v>14.9077363977486</v>
      </c>
      <c r="DS43" s="99">
        <v>14.9706566604128</v>
      </c>
      <c r="DT43" s="99">
        <v>15.0335769230769</v>
      </c>
      <c r="DU43" s="99">
        <v>15.0964971857411</v>
      </c>
      <c r="DV43" s="99">
        <v>15.1594174484053</v>
      </c>
      <c r="DW43" s="99">
        <v>15.2223377110694</v>
      </c>
      <c r="DX43" s="99">
        <v>15.2852579737336</v>
      </c>
      <c r="DY43" s="99">
        <v>15.3481782363978</v>
      </c>
      <c r="DZ43" s="99">
        <v>15.4110984990619</v>
      </c>
      <c r="EA43" s="99">
        <v>15.4740187617261</v>
      </c>
      <c r="EB43" s="99">
        <v>15.5369390243903</v>
      </c>
      <c r="EC43" s="99">
        <v>15.5998592870544</v>
      </c>
      <c r="ED43" s="99">
        <v>15.6627795497186</v>
      </c>
      <c r="EE43" s="99">
        <v>15.7256998123827</v>
      </c>
      <c r="EF43" s="99">
        <v>15.7886200750469</v>
      </c>
      <c r="EG43" s="99">
        <v>15.8515403377111</v>
      </c>
      <c r="EH43" s="99">
        <v>15.9144606003752</v>
      </c>
      <c r="EI43" s="99">
        <v>15.9773808630394</v>
      </c>
      <c r="EJ43" s="99">
        <v>16.0403011257036</v>
      </c>
      <c r="EK43" s="99">
        <v>16.1032213883677</v>
      </c>
      <c r="EL43" s="99">
        <v>16.1661416510319</v>
      </c>
      <c r="EM43" s="99">
        <v>16.2290619136961</v>
      </c>
      <c r="EN43" s="99">
        <v>16.2919821763602</v>
      </c>
      <c r="EO43" s="99">
        <v>16.3549024390244</v>
      </c>
      <c r="EP43" s="99">
        <v>16.4178227016886</v>
      </c>
      <c r="EQ43" s="99">
        <v>16.4807429643527</v>
      </c>
      <c r="ER43" s="99">
        <v>16.5436632270169</v>
      </c>
      <c r="ES43" s="99">
        <v>16.6065834896811</v>
      </c>
      <c r="ET43" s="99">
        <v>16.6695037523452</v>
      </c>
      <c r="EU43" s="99">
        <v>16.7324240150094</v>
      </c>
      <c r="EV43" s="99">
        <v>16.7953442776736</v>
      </c>
      <c r="EW43" s="99">
        <v>16.8582645403377</v>
      </c>
      <c r="EX43" s="99">
        <v>16.9211848030019</v>
      </c>
      <c r="EY43" s="99">
        <v>16.984105065666</v>
      </c>
      <c r="EZ43" s="99">
        <v>17.0470253283302</v>
      </c>
      <c r="FA43" s="99">
        <v>17.1099455909944</v>
      </c>
      <c r="FB43" s="99">
        <v>17.1728658536585</v>
      </c>
      <c r="FC43" s="99">
        <v>17.2357861163227</v>
      </c>
      <c r="FD43" s="99">
        <v>17.2987063789869</v>
      </c>
      <c r="FE43" s="99">
        <v>17.3616266416511</v>
      </c>
      <c r="FF43" s="99">
        <v>17.4245469043152</v>
      </c>
      <c r="FG43" s="99">
        <v>17.4874671669794</v>
      </c>
      <c r="FH43" s="99">
        <v>17.5503874296435</v>
      </c>
      <c r="FI43" s="99">
        <v>17.6133076923077</v>
      </c>
      <c r="FJ43" s="99">
        <v>17.6762279549719</v>
      </c>
      <c r="FK43" s="99">
        <v>17.739148217636</v>
      </c>
      <c r="FL43" s="99">
        <v>17.8020684803002</v>
      </c>
      <c r="FM43" s="99">
        <v>17.8649887429644</v>
      </c>
      <c r="FN43" s="99">
        <v>17.9279090056285</v>
      </c>
      <c r="FO43" s="99">
        <v>17.9908292682927</v>
      </c>
      <c r="FP43" s="99">
        <v>18.0537495309569</v>
      </c>
      <c r="FQ43" s="99">
        <v>18.116669793621</v>
      </c>
      <c r="FR43" s="99">
        <v>18.1795900562852</v>
      </c>
      <c r="FS43" s="99">
        <v>18.2425103189494</v>
      </c>
      <c r="FT43" s="99">
        <v>18.3054305816135</v>
      </c>
      <c r="FU43" s="99">
        <v>18.3683508442777</v>
      </c>
      <c r="FV43" s="99">
        <v>18.4312711069419</v>
      </c>
      <c r="FW43" s="99">
        <v>18.494191369606</v>
      </c>
      <c r="FX43" s="99">
        <v>18.5571116322702</v>
      </c>
      <c r="FY43" s="99">
        <v>18.620031894934399</v>
      </c>
      <c r="FZ43" s="99">
        <v>18.6829521575985</v>
      </c>
      <c r="GA43" s="99">
        <v>18.7458724202627</v>
      </c>
      <c r="GB43" s="99">
        <v>18.808792682926899</v>
      </c>
      <c r="GC43" s="99">
        <v>18.871712945591</v>
      </c>
      <c r="GD43" s="99">
        <v>18.9346332082552</v>
      </c>
      <c r="GE43" s="99">
        <v>18.9975534709193</v>
      </c>
      <c r="GF43" s="99">
        <v>19.0604737335835</v>
      </c>
      <c r="GG43" s="99">
        <v>19.1233939962477</v>
      </c>
      <c r="GH43" s="99">
        <v>19.1863142589118</v>
      </c>
      <c r="GI43" s="99">
        <v>19.249234521576</v>
      </c>
      <c r="GJ43" s="99">
        <v>19.312154784240199</v>
      </c>
      <c r="GK43" s="99">
        <v>19.3750750469043</v>
      </c>
      <c r="GL43" s="99">
        <v>19.4379953095685</v>
      </c>
      <c r="GM43" s="99">
        <v>19.500915572232699</v>
      </c>
      <c r="GN43" s="99">
        <v>19.5638358348968</v>
      </c>
      <c r="GO43" s="99">
        <v>19.626756097561</v>
      </c>
      <c r="GP43" s="99">
        <v>19.689676360225199</v>
      </c>
      <c r="GQ43" s="99">
        <v>19.7525966228893</v>
      </c>
      <c r="GR43" s="99">
        <v>19.8155168855535</v>
      </c>
      <c r="GS43" s="99">
        <v>19.878437148217699</v>
      </c>
      <c r="GT43" s="99">
        <v>19.9413574108818</v>
      </c>
      <c r="GU43" s="99">
        <v>20.004277673546</v>
      </c>
      <c r="GV43" s="99">
        <v>20.067197936210199</v>
      </c>
      <c r="GW43" s="99">
        <v>20.1301181988743</v>
      </c>
      <c r="GX43" s="99">
        <v>20.193038461538499</v>
      </c>
      <c r="GY43" s="99">
        <v>20.2559587242026</v>
      </c>
      <c r="GZ43" s="99">
        <v>20.3188789868668</v>
      </c>
      <c r="HA43" s="99">
        <v>20.381799249530999</v>
      </c>
      <c r="HB43" s="99">
        <v>20.4447195121951</v>
      </c>
      <c r="HC43" s="99">
        <v>20.5076397748593</v>
      </c>
      <c r="HD43" s="99">
        <v>20.570560037523499</v>
      </c>
      <c r="HE43" s="99">
        <v>20.6334803001876</v>
      </c>
      <c r="HF43" s="99">
        <v>20.6964005628518</v>
      </c>
      <c r="HG43" s="99">
        <v>20.759320825515999</v>
      </c>
      <c r="HH43" s="99">
        <v>20.8222410881801</v>
      </c>
      <c r="HI43" s="99">
        <v>20.885161350844299</v>
      </c>
      <c r="HJ43" s="99">
        <v>20.948081613508499</v>
      </c>
      <c r="HK43" s="99">
        <v>21.0110018761726</v>
      </c>
      <c r="HL43" s="99">
        <v>21.073922138836799</v>
      </c>
      <c r="HM43" s="99">
        <v>21.136842401500999</v>
      </c>
      <c r="HN43" s="99">
        <v>21.1997626641651</v>
      </c>
      <c r="HO43" s="99">
        <v>21.262682926829299</v>
      </c>
      <c r="HP43" s="99">
        <v>21.325603189493499</v>
      </c>
      <c r="HQ43" s="99">
        <v>21.3885234521576</v>
      </c>
      <c r="HR43" s="99">
        <v>21.451443714821799</v>
      </c>
      <c r="HS43" s="99">
        <v>21.514363977485999</v>
      </c>
      <c r="HT43" s="99">
        <v>21.577284240150099</v>
      </c>
      <c r="HU43" s="99">
        <v>21.640204502814299</v>
      </c>
      <c r="HV43" s="99">
        <v>21.7031247654784</v>
      </c>
      <c r="HW43" s="99">
        <v>21.766045028142599</v>
      </c>
      <c r="HX43" s="99">
        <v>21.828965290806799</v>
      </c>
      <c r="HY43" s="99">
        <v>21.8918855534709</v>
      </c>
      <c r="HZ43" s="99">
        <v>21.954805816135099</v>
      </c>
      <c r="IA43" s="99">
        <v>22.017726078799299</v>
      </c>
      <c r="IB43" s="99">
        <v>22.0806463414634</v>
      </c>
      <c r="IC43" s="99">
        <v>22.143566604127599</v>
      </c>
      <c r="ID43" s="99">
        <v>22.206486866791799</v>
      </c>
      <c r="IE43" s="99">
        <v>22.2694071294559</v>
      </c>
      <c r="IF43" s="99">
        <v>22.332327392120099</v>
      </c>
      <c r="IG43" s="99">
        <v>22.395247654784299</v>
      </c>
      <c r="IH43" s="99">
        <v>22.458167917448399</v>
      </c>
      <c r="II43" s="99">
        <v>22.521088180112599</v>
      </c>
      <c r="IJ43" s="99">
        <v>22.584008442776799</v>
      </c>
      <c r="IK43" s="99">
        <v>22.646928705440899</v>
      </c>
      <c r="IL43" s="99">
        <v>22.709848968105099</v>
      </c>
      <c r="IM43" s="99">
        <v>22.772769230769299</v>
      </c>
      <c r="IN43" s="99">
        <v>22.835689493433399</v>
      </c>
      <c r="IO43" s="99">
        <v>22.898609756097599</v>
      </c>
      <c r="IP43" s="99">
        <v>22.9615300187617</v>
      </c>
      <c r="IQ43" s="99">
        <v>23.024450281425899</v>
      </c>
      <c r="IR43" s="99">
        <v>23.087370544090099</v>
      </c>
      <c r="IS43" s="99">
        <v>23.150290806754199</v>
      </c>
      <c r="IT43" s="99">
        <v>23.213211069418399</v>
      </c>
      <c r="IU43" s="99">
        <v>23.276131332082599</v>
      </c>
      <c r="IV43" s="99">
        <v>23.339051594746699</v>
      </c>
      <c r="IW43" s="99">
        <v>23.401971857410899</v>
      </c>
      <c r="IX43" s="99">
        <v>23.464892120075099</v>
      </c>
      <c r="IY43" s="99">
        <v>23.527812382739199</v>
      </c>
      <c r="IZ43" s="99">
        <v>23.590732645403399</v>
      </c>
      <c r="JA43" s="99">
        <v>23.653652908067599</v>
      </c>
      <c r="JB43" s="99">
        <v>23.716573170731699</v>
      </c>
      <c r="JC43" s="99">
        <v>23.779493433395899</v>
      </c>
      <c r="JD43" s="99">
        <v>23.842413696060099</v>
      </c>
      <c r="JE43" s="99">
        <v>23.905333958724199</v>
      </c>
      <c r="JF43" s="99">
        <v>23.968254221388399</v>
      </c>
      <c r="JG43" s="99">
        <v>24.031174484052599</v>
      </c>
      <c r="JH43" s="99">
        <v>24.094094746716699</v>
      </c>
      <c r="JI43" s="99">
        <v>24.157015009380899</v>
      </c>
      <c r="JJ43" s="99">
        <v>24.219935272045099</v>
      </c>
      <c r="JK43" s="99">
        <v>24.282855534709199</v>
      </c>
      <c r="JL43" s="99">
        <v>24.345775797373399</v>
      </c>
      <c r="JM43" s="99">
        <v>24.408696060037499</v>
      </c>
      <c r="JN43" s="99">
        <v>24.471616322701699</v>
      </c>
      <c r="JO43" s="99">
        <v>24.534536585365899</v>
      </c>
      <c r="JP43" s="99">
        <v>24.597456848029999</v>
      </c>
      <c r="JQ43" s="99">
        <v>24.660377110694199</v>
      </c>
      <c r="JR43" s="99">
        <v>24.723297373358399</v>
      </c>
      <c r="JS43" s="99">
        <v>24.786217636022499</v>
      </c>
      <c r="JT43" s="99">
        <v>24.849137898686699</v>
      </c>
      <c r="JU43" s="99">
        <v>24.912058161350899</v>
      </c>
      <c r="JV43" s="99">
        <v>24.974978424014999</v>
      </c>
      <c r="JW43" s="99">
        <v>25.037898686679199</v>
      </c>
      <c r="JX43" s="99">
        <v>25.100818949343399</v>
      </c>
      <c r="JY43" s="99">
        <v>25.163739212007499</v>
      </c>
      <c r="JZ43" s="99">
        <v>25.226659474671699</v>
      </c>
      <c r="KA43" s="99">
        <v>25.289579737335899</v>
      </c>
      <c r="KB43" s="99">
        <v>25.352499999999999</v>
      </c>
      <c r="KC43" s="99">
        <v>25.415420262664199</v>
      </c>
      <c r="KD43" s="99">
        <v>25.478340525328399</v>
      </c>
      <c r="KE43" s="99">
        <v>25.541260787992499</v>
      </c>
      <c r="KF43" s="99">
        <v>25.604181050656699</v>
      </c>
      <c r="KG43" s="99">
        <v>25.667101313320799</v>
      </c>
      <c r="KH43" s="99">
        <v>25.730021575984999</v>
      </c>
      <c r="KI43" s="99">
        <v>25.792941838649199</v>
      </c>
      <c r="KJ43" s="99">
        <v>25.855862101313299</v>
      </c>
      <c r="KK43" s="99">
        <v>25.918782363977499</v>
      </c>
      <c r="KL43" s="99">
        <v>25.981702626641699</v>
      </c>
      <c r="KM43" s="99">
        <v>26.044622889305799</v>
      </c>
      <c r="KN43" s="99">
        <v>26.107543151969999</v>
      </c>
      <c r="KO43" s="99">
        <v>26.170463414634199</v>
      </c>
      <c r="KP43" s="99">
        <v>26.233383677298299</v>
      </c>
      <c r="KQ43" s="99">
        <v>26.296303939962499</v>
      </c>
      <c r="KR43" s="99">
        <v>26.359224202626699</v>
      </c>
      <c r="KS43" s="99">
        <v>26.422144465290799</v>
      </c>
      <c r="KT43" s="99">
        <v>26.485064727954999</v>
      </c>
      <c r="KU43" s="99">
        <v>26.547984990619199</v>
      </c>
      <c r="KV43" s="99">
        <v>26.610905253283299</v>
      </c>
      <c r="KW43" s="99">
        <v>26.673825515947499</v>
      </c>
      <c r="KX43" s="99">
        <v>26.736745778611699</v>
      </c>
      <c r="KY43" s="99">
        <v>26.799666041275799</v>
      </c>
      <c r="KZ43" s="99">
        <v>26.862586303939999</v>
      </c>
      <c r="LA43" s="99">
        <v>26.925506566604199</v>
      </c>
      <c r="LB43" s="99">
        <v>26.988426829268299</v>
      </c>
      <c r="LC43" s="99">
        <v>27.051347091932499</v>
      </c>
      <c r="LD43" s="99">
        <v>27.114267354596599</v>
      </c>
      <c r="LE43" s="99">
        <v>27.177187617260799</v>
      </c>
      <c r="LF43" s="99">
        <v>27.240107879924999</v>
      </c>
      <c r="LG43" s="99">
        <v>27.303028142589099</v>
      </c>
      <c r="LH43" s="99">
        <v>27.365948405253299</v>
      </c>
      <c r="LI43" s="99">
        <v>27.428868667917499</v>
      </c>
      <c r="LJ43" s="99">
        <v>27.491788930581599</v>
      </c>
      <c r="LK43" s="99">
        <v>27.554709193245799</v>
      </c>
      <c r="LL43" s="99">
        <v>27.617629455909999</v>
      </c>
      <c r="LM43" s="99">
        <v>27.680549718574099</v>
      </c>
      <c r="LN43" s="99">
        <v>27.743469981238299</v>
      </c>
      <c r="LO43" s="99">
        <v>27.806390243902499</v>
      </c>
      <c r="LP43" s="99">
        <v>27.869310506566599</v>
      </c>
      <c r="LQ43" s="99">
        <v>27.932230769230799</v>
      </c>
      <c r="LR43" s="99">
        <v>27.995151031894999</v>
      </c>
      <c r="LS43" s="99">
        <v>28.058071294559099</v>
      </c>
      <c r="LT43" s="99">
        <v>28.120991557223299</v>
      </c>
      <c r="LU43" s="99">
        <v>28.183911819887498</v>
      </c>
      <c r="LV43" s="99">
        <v>28.246832082551599</v>
      </c>
      <c r="LW43" s="99">
        <v>28.309752345215799</v>
      </c>
      <c r="LX43" s="99">
        <v>28.372672607879899</v>
      </c>
      <c r="LY43" s="99">
        <v>28.435592870544099</v>
      </c>
      <c r="LZ43" s="99">
        <v>28.498513133208299</v>
      </c>
      <c r="MA43" s="99">
        <v>28.561433395872399</v>
      </c>
      <c r="MB43" s="99">
        <v>28.624353658536599</v>
      </c>
      <c r="MC43" s="99">
        <v>28.687273921200799</v>
      </c>
      <c r="MD43" s="99">
        <v>28.750194183864899</v>
      </c>
      <c r="ME43" s="99">
        <v>28.813114446529099</v>
      </c>
      <c r="MF43" s="99">
        <v>28.876034709193299</v>
      </c>
      <c r="MG43" s="99">
        <v>28.938954971857399</v>
      </c>
      <c r="MH43" s="99">
        <v>29.001875234521599</v>
      </c>
      <c r="MI43" s="99">
        <v>29.064795497185798</v>
      </c>
      <c r="MJ43" s="99">
        <v>29.127715759849899</v>
      </c>
      <c r="MK43" s="99">
        <v>29.190636022514099</v>
      </c>
      <c r="ML43" s="99">
        <v>29.253556285178298</v>
      </c>
      <c r="MM43" s="99">
        <v>29.316476547842399</v>
      </c>
      <c r="MN43" s="99">
        <v>29.379396810506599</v>
      </c>
      <c r="MO43" s="99">
        <v>29.442317073170798</v>
      </c>
      <c r="MP43" s="99">
        <v>29.505237335834899</v>
      </c>
      <c r="MQ43" s="99">
        <v>29.568157598499099</v>
      </c>
      <c r="MR43" s="99">
        <v>29.631077861163298</v>
      </c>
      <c r="MS43" s="99">
        <v>29.693998123827399</v>
      </c>
      <c r="MT43" s="99">
        <v>29.756918386491598</v>
      </c>
      <c r="MU43" s="99">
        <v>29.819838649155699</v>
      </c>
      <c r="MV43" s="99">
        <v>29.882758911819899</v>
      </c>
      <c r="MW43" s="99">
        <v>29.945679174484098</v>
      </c>
      <c r="MX43" s="99">
        <v>30.008599437148199</v>
      </c>
      <c r="MY43" s="99">
        <v>30.071519699812399</v>
      </c>
      <c r="MZ43" s="99">
        <v>30.134439962476598</v>
      </c>
      <c r="NA43" s="99">
        <v>30.197360225140699</v>
      </c>
      <c r="NB43" s="99">
        <v>30.260280487804899</v>
      </c>
      <c r="NC43" s="99">
        <v>30.323200750469098</v>
      </c>
      <c r="ND43" s="99">
        <v>30.386121013133199</v>
      </c>
      <c r="NE43" s="99">
        <v>30.449041275797398</v>
      </c>
      <c r="NF43" s="99">
        <v>30.511961538461598</v>
      </c>
      <c r="NG43" s="99">
        <v>30.574881801125699</v>
      </c>
      <c r="NH43" s="99">
        <v>30.637802063789898</v>
      </c>
      <c r="NI43" s="99">
        <v>30.700722326454098</v>
      </c>
      <c r="NJ43" s="99">
        <v>30.763642589118199</v>
      </c>
      <c r="NK43" s="99">
        <v>30.826562851782398</v>
      </c>
      <c r="NL43" s="99">
        <v>30.889483114446602</v>
      </c>
      <c r="NM43" s="99">
        <v>30.952403377110699</v>
      </c>
      <c r="NN43" s="99">
        <v>31.015323639774898</v>
      </c>
      <c r="NO43" s="99">
        <v>31.078243902438999</v>
      </c>
      <c r="NP43" s="99">
        <v>31.141164165103199</v>
      </c>
      <c r="NQ43" s="99">
        <v>31.204084427767398</v>
      </c>
      <c r="NR43" s="99">
        <v>31.267004690431499</v>
      </c>
      <c r="NS43" s="99">
        <v>31.329924953095698</v>
      </c>
      <c r="NT43" s="99">
        <v>31.392845215759898</v>
      </c>
      <c r="NU43" s="99">
        <v>31.455765478423999</v>
      </c>
      <c r="NV43" s="99">
        <v>31.518685741088198</v>
      </c>
      <c r="NW43" s="99">
        <v>31.581606003752398</v>
      </c>
      <c r="NX43" s="99">
        <v>31.644526266416499</v>
      </c>
      <c r="NY43" s="99">
        <v>31.707446529080698</v>
      </c>
      <c r="NZ43" s="99">
        <v>31.770366791744902</v>
      </c>
      <c r="OA43" s="99">
        <v>31.833287054408999</v>
      </c>
      <c r="OB43" s="99">
        <v>31.896207317073198</v>
      </c>
      <c r="OC43" s="99">
        <v>31.959127579737402</v>
      </c>
      <c r="OD43" s="99">
        <v>32.022047842401498</v>
      </c>
      <c r="OE43" s="99">
        <v>32.084968105065698</v>
      </c>
      <c r="OF43" s="99">
        <v>32.147888367729898</v>
      </c>
      <c r="OG43" s="99">
        <v>32.210808630393998</v>
      </c>
      <c r="OH43" s="99">
        <v>32.273728893058198</v>
      </c>
      <c r="OI43" s="99">
        <v>32.336649155722398</v>
      </c>
      <c r="OJ43" s="99">
        <v>32.399569418386498</v>
      </c>
      <c r="OK43" s="99">
        <v>32.462489681050698</v>
      </c>
      <c r="OL43" s="99">
        <v>32.525409943714799</v>
      </c>
      <c r="OM43" s="99">
        <v>32.588330206378998</v>
      </c>
      <c r="ON43" s="99">
        <v>32.651250469043198</v>
      </c>
      <c r="OO43" s="99">
        <v>32.714170731707299</v>
      </c>
      <c r="OP43" s="99">
        <v>32.777090994371498</v>
      </c>
      <c r="OQ43" s="99">
        <v>32.840011257035698</v>
      </c>
      <c r="OR43" s="99">
        <v>32.902931519699798</v>
      </c>
      <c r="OS43" s="99">
        <v>32.965851782363998</v>
      </c>
      <c r="OT43" s="99">
        <v>33.028772045028198</v>
      </c>
      <c r="OU43" s="99">
        <v>33.091692307692298</v>
      </c>
      <c r="OV43" s="99">
        <v>33.154612570356498</v>
      </c>
      <c r="OW43" s="99">
        <v>33.217532833020698</v>
      </c>
      <c r="OX43" s="99">
        <v>33.280453095684798</v>
      </c>
      <c r="OY43" s="99">
        <v>33.343373358348998</v>
      </c>
      <c r="OZ43" s="99">
        <v>33.406293621013198</v>
      </c>
      <c r="PA43" s="99">
        <v>33.469213883677298</v>
      </c>
      <c r="PB43" s="99">
        <v>33.532134146341498</v>
      </c>
      <c r="PC43" s="99">
        <v>33.595054409005698</v>
      </c>
      <c r="PD43" s="99">
        <v>33.657974671669798</v>
      </c>
      <c r="PE43" s="99">
        <v>33.720894934333998</v>
      </c>
      <c r="PF43" s="99">
        <v>33.783815196998098</v>
      </c>
      <c r="PG43" s="99">
        <v>33.846735459662298</v>
      </c>
      <c r="PH43" s="99">
        <v>33.909655722326498</v>
      </c>
      <c r="PI43" s="99">
        <v>33.972575984990598</v>
      </c>
      <c r="PJ43" s="99">
        <v>34.035496247654798</v>
      </c>
      <c r="PK43" s="99">
        <v>34.098416510318998</v>
      </c>
      <c r="PL43" s="99">
        <v>34.161336772983098</v>
      </c>
      <c r="PM43" s="99">
        <v>34.224257035647298</v>
      </c>
      <c r="PN43" s="99">
        <v>34.287177298311498</v>
      </c>
      <c r="PO43" s="99">
        <v>34.350097560975598</v>
      </c>
      <c r="PP43" s="99">
        <v>34.413017823639798</v>
      </c>
      <c r="PQ43" s="99">
        <v>34.475938086303998</v>
      </c>
      <c r="PR43" s="99">
        <v>34.538858348968098</v>
      </c>
      <c r="PS43" s="99">
        <v>34.601778611632298</v>
      </c>
      <c r="PT43" s="99">
        <v>34.664698874296498</v>
      </c>
      <c r="PU43" s="99">
        <v>34.727619136960598</v>
      </c>
      <c r="PV43" s="99">
        <v>34.790539399624798</v>
      </c>
      <c r="PW43" s="99">
        <v>34.853459662288998</v>
      </c>
      <c r="PX43" s="99">
        <v>34.916379924953098</v>
      </c>
      <c r="PY43" s="99">
        <v>34.979300187617298</v>
      </c>
      <c r="PZ43" s="99">
        <v>35.042220450281498</v>
      </c>
      <c r="QA43" s="99">
        <v>35.105140712945598</v>
      </c>
      <c r="QB43" s="99">
        <v>35.168060975609798</v>
      </c>
      <c r="QC43" s="99">
        <v>35.230981238273898</v>
      </c>
      <c r="QD43" s="99">
        <v>35.293901500938098</v>
      </c>
      <c r="QE43" s="99">
        <v>35.356821763602298</v>
      </c>
      <c r="QF43" s="99">
        <v>35.419742026266398</v>
      </c>
      <c r="QG43" s="99">
        <v>35.482662288930598</v>
      </c>
      <c r="QH43" s="99">
        <v>35.545582551594798</v>
      </c>
      <c r="QI43" s="99">
        <v>35.608502814258898</v>
      </c>
      <c r="QJ43" s="99">
        <v>35.671423076923098</v>
      </c>
      <c r="QK43" s="99">
        <v>35.734343339587298</v>
      </c>
      <c r="QL43" s="99">
        <v>35.797263602251398</v>
      </c>
      <c r="QM43" s="99">
        <v>35.860183864915598</v>
      </c>
      <c r="QN43" s="99">
        <v>35.923104127579798</v>
      </c>
      <c r="QO43" s="99">
        <v>35.986024390243898</v>
      </c>
      <c r="QP43" s="99">
        <v>36.048944652908098</v>
      </c>
      <c r="QQ43" s="99">
        <v>36.111864915572298</v>
      </c>
      <c r="QR43" s="99">
        <v>36.174785178236398</v>
      </c>
      <c r="QS43" s="99">
        <v>36.237705440900598</v>
      </c>
      <c r="QT43" s="99">
        <v>36.300625703564798</v>
      </c>
      <c r="QU43" s="99">
        <v>36.363545966228898</v>
      </c>
      <c r="QV43" s="99">
        <v>36.426466228893098</v>
      </c>
      <c r="QW43" s="99">
        <v>36.489386491557298</v>
      </c>
      <c r="QX43" s="99">
        <v>36.552306754221398</v>
      </c>
      <c r="QY43" s="99">
        <v>36.615227016885598</v>
      </c>
      <c r="QZ43" s="99">
        <v>36.678147279549698</v>
      </c>
      <c r="RA43" s="99">
        <v>36.741067542213898</v>
      </c>
      <c r="RB43" s="99">
        <v>36.803987804878098</v>
      </c>
      <c r="RC43" s="99">
        <v>36.866908067542198</v>
      </c>
      <c r="RD43" s="99">
        <v>36.929828330206398</v>
      </c>
      <c r="RE43" s="99">
        <v>36.992748592870598</v>
      </c>
      <c r="RF43" s="99">
        <v>37.055668855534698</v>
      </c>
      <c r="RG43" s="99">
        <v>37.118589118198898</v>
      </c>
      <c r="RH43" s="99">
        <v>37.181509380863098</v>
      </c>
      <c r="RI43" s="99">
        <v>37.244429643527198</v>
      </c>
      <c r="RJ43" s="99">
        <v>37.307349906191398</v>
      </c>
      <c r="RK43" s="99">
        <v>37.370270168855598</v>
      </c>
      <c r="RL43" s="99">
        <v>37.433190431519698</v>
      </c>
      <c r="RM43" s="99">
        <v>37.496110694183898</v>
      </c>
      <c r="RN43" s="99">
        <v>37.559030956848098</v>
      </c>
      <c r="RO43" s="99">
        <v>37.621951219512198</v>
      </c>
      <c r="RP43" s="99">
        <v>37.684871482176398</v>
      </c>
      <c r="RQ43" s="99">
        <v>37.747791744840598</v>
      </c>
      <c r="RR43" s="99">
        <v>37.810712007504698</v>
      </c>
      <c r="RS43" s="99">
        <v>37.873632270168898</v>
      </c>
      <c r="RT43" s="99">
        <v>37.936552532832998</v>
      </c>
      <c r="RU43" s="99">
        <v>37.999472795497198</v>
      </c>
      <c r="RV43" s="99">
        <v>38.062393058161398</v>
      </c>
      <c r="RW43" s="99">
        <v>38.125313320825498</v>
      </c>
      <c r="RX43" s="99">
        <v>38.188233583489698</v>
      </c>
      <c r="RY43" s="99">
        <v>38.251153846153898</v>
      </c>
      <c r="RZ43" s="99">
        <v>38.314074108817998</v>
      </c>
      <c r="SA43" s="99">
        <v>38.376994371482198</v>
      </c>
      <c r="SB43" s="99">
        <v>38.439914634146398</v>
      </c>
      <c r="SC43" s="99">
        <v>38.502834896810498</v>
      </c>
      <c r="SD43" s="99">
        <v>38.565755159474698</v>
      </c>
      <c r="SE43" s="99">
        <v>38.628675422138897</v>
      </c>
      <c r="SF43" s="99">
        <v>38.691595684802998</v>
      </c>
      <c r="SG43" s="99">
        <v>38.754515947467198</v>
      </c>
      <c r="SH43" s="99">
        <v>38.817436210131397</v>
      </c>
      <c r="SI43" s="99">
        <v>38.880356472795498</v>
      </c>
      <c r="SJ43" s="99">
        <v>38.943276735459698</v>
      </c>
      <c r="SK43" s="99">
        <v>39.006196998123897</v>
      </c>
      <c r="SL43" s="99">
        <v>39.069117260787998</v>
      </c>
      <c r="SM43" s="99">
        <v>39.132037523452198</v>
      </c>
      <c r="SN43" s="99">
        <v>39.194957786116397</v>
      </c>
      <c r="SO43" s="99">
        <v>39.257878048780498</v>
      </c>
      <c r="SP43" s="99">
        <v>39.320798311444698</v>
      </c>
      <c r="SQ43" s="99">
        <v>39.383718574108798</v>
      </c>
      <c r="SR43" s="99">
        <v>39.446638836772998</v>
      </c>
      <c r="SS43" s="99">
        <v>39.509559099437197</v>
      </c>
      <c r="ST43" s="99">
        <v>39.572479362101298</v>
      </c>
      <c r="SU43" s="99">
        <v>39.635399624765498</v>
      </c>
      <c r="SV43" s="99">
        <v>39.698319887429697</v>
      </c>
      <c r="SW43" s="99">
        <v>39.761240150093798</v>
      </c>
      <c r="SX43" s="99">
        <v>39.824160412757998</v>
      </c>
      <c r="SY43" s="99">
        <v>39.887080675422197</v>
      </c>
      <c r="SZ43" s="99">
        <v>39.950000938086298</v>
      </c>
      <c r="TA43" s="99">
        <v>40.012921200750498</v>
      </c>
      <c r="TB43" s="99">
        <v>40.075841463414697</v>
      </c>
      <c r="TC43" s="99">
        <v>40.138761726078798</v>
      </c>
      <c r="TD43" s="99">
        <v>40.201681988742997</v>
      </c>
      <c r="TE43" s="99">
        <v>40.264602251407197</v>
      </c>
      <c r="TF43" s="99">
        <v>40.327522514071298</v>
      </c>
      <c r="TG43" s="99">
        <v>40.390442776735497</v>
      </c>
      <c r="TH43" s="99">
        <v>40.453363039399697</v>
      </c>
      <c r="TI43" s="99">
        <v>40.516283302063798</v>
      </c>
      <c r="TJ43" s="99">
        <v>40.579203564727997</v>
      </c>
      <c r="TK43" s="99">
        <v>40.642123827392098</v>
      </c>
      <c r="TL43" s="99">
        <v>40.705044090056298</v>
      </c>
      <c r="TM43" s="99">
        <v>40.767964352720497</v>
      </c>
      <c r="TN43" s="99">
        <v>40.830884615384598</v>
      </c>
      <c r="TO43" s="99">
        <v>40.893804878048797</v>
      </c>
      <c r="TP43" s="99">
        <v>40.956725140712997</v>
      </c>
      <c r="TQ43" s="99">
        <v>41.019645403377098</v>
      </c>
      <c r="TR43" s="99">
        <v>41.082565666041297</v>
      </c>
      <c r="TS43" s="99">
        <v>41.145485928705497</v>
      </c>
      <c r="TT43" s="99">
        <v>41.208406191369598</v>
      </c>
      <c r="TU43" s="99">
        <v>41.271326454033797</v>
      </c>
      <c r="TV43" s="99">
        <v>41.334246716697997</v>
      </c>
      <c r="TW43" s="99">
        <v>41.397166979362098</v>
      </c>
      <c r="TX43" s="99">
        <v>41.460087242026297</v>
      </c>
      <c r="TY43" s="99">
        <v>41.523007504690497</v>
      </c>
      <c r="TZ43" s="99">
        <v>41.585927767354598</v>
      </c>
      <c r="UA43" s="99">
        <v>41.648848030018797</v>
      </c>
      <c r="UB43" s="99">
        <v>41.711768292682997</v>
      </c>
      <c r="UC43" s="99">
        <v>41.774688555347097</v>
      </c>
      <c r="UD43" s="99">
        <v>41.837608818011297</v>
      </c>
      <c r="UE43" s="99">
        <v>41.900529080675398</v>
      </c>
      <c r="UF43" s="99">
        <v>41.963449343339597</v>
      </c>
      <c r="UG43" s="99">
        <v>42.026369606003797</v>
      </c>
      <c r="UH43" s="99">
        <v>42.089289868667898</v>
      </c>
      <c r="UI43" s="99">
        <v>42.152210131332097</v>
      </c>
      <c r="UJ43" s="99">
        <v>42.215130393996297</v>
      </c>
      <c r="UK43" s="99">
        <v>42.278050656660398</v>
      </c>
      <c r="UL43" s="99">
        <v>42.340970919324597</v>
      </c>
      <c r="UM43" s="99">
        <v>42.403891181988797</v>
      </c>
      <c r="UN43" s="99">
        <v>42.466811444652897</v>
      </c>
      <c r="UO43" s="99">
        <v>42.529731707317097</v>
      </c>
      <c r="UP43" s="99">
        <v>42.592651969981297</v>
      </c>
      <c r="UQ43" s="99">
        <v>42.655572232645397</v>
      </c>
      <c r="UR43" s="99">
        <v>42.718492495309597</v>
      </c>
      <c r="US43" s="99">
        <v>42.781412757973797</v>
      </c>
      <c r="UT43" s="99">
        <v>42.844333020637897</v>
      </c>
    </row>
    <row r="44" spans="1:566" x14ac:dyDescent="0.2">
      <c r="A44" s="89">
        <v>19</v>
      </c>
      <c r="B44" s="90">
        <v>7.28</v>
      </c>
      <c r="C44" s="90">
        <v>7.34</v>
      </c>
      <c r="D44" s="90">
        <v>7.41</v>
      </c>
      <c r="E44" s="90">
        <v>7.47</v>
      </c>
      <c r="F44" s="90">
        <v>7.53</v>
      </c>
      <c r="G44" s="90">
        <v>7.59</v>
      </c>
      <c r="H44" s="90">
        <v>7.66</v>
      </c>
      <c r="I44" s="90">
        <v>7.72</v>
      </c>
      <c r="J44" s="90">
        <v>7.78</v>
      </c>
      <c r="K44" s="90">
        <v>7.84</v>
      </c>
      <c r="L44" s="90">
        <v>7.9</v>
      </c>
      <c r="M44" s="90">
        <v>7.97</v>
      </c>
      <c r="N44" s="90">
        <v>8.0299999999999994</v>
      </c>
      <c r="O44" s="90">
        <v>8.09</v>
      </c>
      <c r="P44" s="90">
        <v>8.15</v>
      </c>
      <c r="Q44" s="90">
        <v>8.2200000000000006</v>
      </c>
      <c r="R44" s="90">
        <v>8.2799999999999994</v>
      </c>
      <c r="S44" s="90">
        <v>8.34</v>
      </c>
      <c r="T44" s="90">
        <v>8.4</v>
      </c>
      <c r="U44" s="91">
        <v>8.4700000000000006</v>
      </c>
      <c r="V44" s="90">
        <v>8.5299999999999994</v>
      </c>
      <c r="W44" s="90">
        <v>8.59</v>
      </c>
      <c r="X44" s="90">
        <v>8.65</v>
      </c>
      <c r="Y44" s="90">
        <v>8.7200000000000006</v>
      </c>
      <c r="Z44" s="90">
        <v>8.7799999999999994</v>
      </c>
      <c r="AA44" s="90">
        <v>8.84</v>
      </c>
      <c r="AB44" s="90">
        <v>8.9</v>
      </c>
      <c r="AC44" s="90">
        <v>8.9600000000000009</v>
      </c>
      <c r="AD44" s="90">
        <v>9.0299999999999994</v>
      </c>
      <c r="AE44" s="90">
        <v>9.09</v>
      </c>
      <c r="AF44" s="90">
        <v>9.15</v>
      </c>
      <c r="AG44" s="90">
        <v>9.2100000000000009</v>
      </c>
      <c r="AH44" s="90">
        <v>9.2799999999999994</v>
      </c>
      <c r="AI44" s="90">
        <v>9.34</v>
      </c>
      <c r="AJ44" s="90">
        <v>9.4</v>
      </c>
      <c r="AK44" s="90">
        <v>9.4600000000000009</v>
      </c>
      <c r="AL44" s="90">
        <v>9.5299999999999994</v>
      </c>
      <c r="AM44" s="90">
        <v>9.59</v>
      </c>
      <c r="AN44" s="90">
        <v>9.65</v>
      </c>
      <c r="AO44" s="91">
        <v>9.7100000000000009</v>
      </c>
      <c r="AP44" s="90">
        <v>9.7750769230769201</v>
      </c>
      <c r="AQ44" s="90">
        <v>9.8374221388367697</v>
      </c>
      <c r="AR44" s="90">
        <v>9.8997673545966194</v>
      </c>
      <c r="AS44" s="90">
        <v>9.9621125703564708</v>
      </c>
      <c r="AT44" s="90">
        <v>10.024457786116299</v>
      </c>
      <c r="AU44" s="90">
        <v>10.0868030018762</v>
      </c>
      <c r="AV44" s="90">
        <v>10.149148217636</v>
      </c>
      <c r="AW44" s="90">
        <v>10.2114934333959</v>
      </c>
      <c r="AX44" s="90">
        <v>10.273838649155699</v>
      </c>
      <c r="AY44" s="90">
        <v>10.336183864915601</v>
      </c>
      <c r="AZ44" s="90">
        <v>10.3985290806754</v>
      </c>
      <c r="BA44" s="90">
        <v>10.4608742964353</v>
      </c>
      <c r="BB44" s="90">
        <v>10.5232195121951</v>
      </c>
      <c r="BC44" s="90">
        <v>10.585564727954999</v>
      </c>
      <c r="BD44" s="90">
        <v>10.647909943714801</v>
      </c>
      <c r="BE44" s="90">
        <v>10.7102551594747</v>
      </c>
      <c r="BF44" s="90">
        <v>10.7726003752345</v>
      </c>
      <c r="BG44" s="90">
        <v>10.834945590994399</v>
      </c>
      <c r="BH44" s="90">
        <v>10.897290806754199</v>
      </c>
      <c r="BI44" s="91">
        <v>10.959636022514101</v>
      </c>
      <c r="BJ44" s="90">
        <v>11.0219812382739</v>
      </c>
      <c r="BK44" s="99">
        <v>11.0843264540338</v>
      </c>
      <c r="BL44" s="99">
        <v>11.1466716697936</v>
      </c>
      <c r="BM44" s="99">
        <v>11.209016885553501</v>
      </c>
      <c r="BN44" s="99">
        <v>11.271362101313301</v>
      </c>
      <c r="BO44" s="99">
        <v>11.3337073170732</v>
      </c>
      <c r="BP44" s="99">
        <v>11.396052532833</v>
      </c>
      <c r="BQ44" s="99">
        <v>11.458397748592899</v>
      </c>
      <c r="BR44" s="99">
        <v>11.520742964352699</v>
      </c>
      <c r="BS44" s="99">
        <v>11.5830881801126</v>
      </c>
      <c r="BT44" s="99">
        <v>11.6454333958724</v>
      </c>
      <c r="BU44" s="99">
        <v>11.7077786116323</v>
      </c>
      <c r="BV44" s="99">
        <v>11.7701238273921</v>
      </c>
      <c r="BW44" s="99">
        <v>11.832469043152001</v>
      </c>
      <c r="BX44" s="99">
        <v>11.894814258911801</v>
      </c>
      <c r="BY44" s="99">
        <v>11.9571594746717</v>
      </c>
      <c r="BZ44" s="99">
        <v>12.0195046904315</v>
      </c>
      <c r="CA44" s="99">
        <v>12.081849906191399</v>
      </c>
      <c r="CB44" s="99">
        <v>12.144195121951199</v>
      </c>
      <c r="CC44" s="99">
        <v>12.2065403377111</v>
      </c>
      <c r="CD44" s="99">
        <v>12.2688855534709</v>
      </c>
      <c r="CE44" s="99">
        <v>12.3312307692308</v>
      </c>
      <c r="CF44" s="99">
        <v>12.3935759849906</v>
      </c>
      <c r="CG44" s="99">
        <v>12.455921200750501</v>
      </c>
      <c r="CH44" s="99">
        <v>12.518266416510301</v>
      </c>
      <c r="CI44" s="99">
        <v>12.5806116322702</v>
      </c>
      <c r="CJ44" s="99">
        <v>12.64295684803</v>
      </c>
      <c r="CK44" s="99">
        <v>12.705302063789899</v>
      </c>
      <c r="CL44" s="99">
        <v>12.767647279549699</v>
      </c>
      <c r="CM44" s="99">
        <v>12.8299924953096</v>
      </c>
      <c r="CN44" s="99">
        <v>12.8923377110694</v>
      </c>
      <c r="CO44" s="99">
        <v>12.9546829268293</v>
      </c>
      <c r="CP44" s="99">
        <v>13.017028142589099</v>
      </c>
      <c r="CQ44" s="99">
        <v>13.079373358349001</v>
      </c>
      <c r="CR44" s="99">
        <v>13.141718574108801</v>
      </c>
      <c r="CS44" s="99">
        <v>13.2040637898687</v>
      </c>
      <c r="CT44" s="99">
        <v>13.2664090056285</v>
      </c>
      <c r="CU44" s="99">
        <v>13.328754221388399</v>
      </c>
      <c r="CV44" s="99">
        <v>13.391099437148201</v>
      </c>
      <c r="CW44" s="99">
        <v>13.4534446529081</v>
      </c>
      <c r="CX44" s="99">
        <v>13.5157898686679</v>
      </c>
      <c r="CY44" s="99">
        <v>13.578135084427799</v>
      </c>
      <c r="CZ44" s="99">
        <v>13.640480300187599</v>
      </c>
      <c r="DA44" s="99">
        <v>13.702825515947501</v>
      </c>
      <c r="DB44" s="99">
        <v>13.7651707317073</v>
      </c>
      <c r="DC44" s="99">
        <v>13.8275159474672</v>
      </c>
      <c r="DD44" s="99">
        <v>13.889861163227</v>
      </c>
      <c r="DE44" s="99">
        <v>13.952206378986901</v>
      </c>
      <c r="DF44" s="99">
        <v>14.014551594746701</v>
      </c>
      <c r="DG44" s="99">
        <v>14.0768968105066</v>
      </c>
      <c r="DH44" s="99">
        <v>14.1392420262664</v>
      </c>
      <c r="DI44" s="99">
        <v>14.201587242026299</v>
      </c>
      <c r="DJ44" s="99">
        <v>14.263932457786099</v>
      </c>
      <c r="DK44" s="99">
        <v>14.326277673546</v>
      </c>
      <c r="DL44" s="99">
        <v>14.3886228893058</v>
      </c>
      <c r="DM44" s="99">
        <v>14.4509681050657</v>
      </c>
      <c r="DN44" s="99">
        <v>14.5133133208255</v>
      </c>
      <c r="DO44" s="99">
        <v>14.575658536585401</v>
      </c>
      <c r="DP44" s="99">
        <v>14.638003752345201</v>
      </c>
      <c r="DQ44" s="99">
        <v>14.7003489681051</v>
      </c>
      <c r="DR44" s="99">
        <v>14.7626941838649</v>
      </c>
      <c r="DS44" s="99">
        <v>14.825039399624799</v>
      </c>
      <c r="DT44" s="99">
        <v>14.887384615384599</v>
      </c>
      <c r="DU44" s="99">
        <v>14.9497298311445</v>
      </c>
      <c r="DV44" s="99">
        <v>15.0120750469043</v>
      </c>
      <c r="DW44" s="99">
        <v>15.0744202626642</v>
      </c>
      <c r="DX44" s="99">
        <v>15.136765478424</v>
      </c>
      <c r="DY44" s="99">
        <v>15.199110694183901</v>
      </c>
      <c r="DZ44" s="99">
        <v>15.261455909943701</v>
      </c>
      <c r="EA44" s="99">
        <v>15.3238011257036</v>
      </c>
      <c r="EB44" s="99">
        <v>15.3861463414634</v>
      </c>
      <c r="EC44" s="99">
        <v>15.448491557223299</v>
      </c>
      <c r="ED44" s="99">
        <v>15.510836772983099</v>
      </c>
      <c r="EE44" s="99">
        <v>15.573181988743</v>
      </c>
      <c r="EF44" s="99">
        <v>15.6355272045028</v>
      </c>
      <c r="EG44" s="99">
        <v>15.6978724202627</v>
      </c>
      <c r="EH44" s="99">
        <v>15.760217636022499</v>
      </c>
      <c r="EI44" s="99">
        <v>15.822562851782401</v>
      </c>
      <c r="EJ44" s="99">
        <v>15.884908067542201</v>
      </c>
      <c r="EK44" s="99">
        <v>15.9472532833021</v>
      </c>
      <c r="EL44" s="99">
        <v>16.009598499061902</v>
      </c>
      <c r="EM44" s="99">
        <v>16.071943714821799</v>
      </c>
      <c r="EN44" s="99">
        <v>16.134288930581601</v>
      </c>
      <c r="EO44" s="99">
        <v>16.196634146341498</v>
      </c>
      <c r="EP44" s="99">
        <v>16.2589793621013</v>
      </c>
      <c r="EQ44" s="99">
        <v>16.321324577861201</v>
      </c>
      <c r="ER44" s="99">
        <v>16.383669793620999</v>
      </c>
      <c r="ES44" s="99">
        <v>16.446015009380901</v>
      </c>
      <c r="ET44" s="99">
        <v>16.508360225140699</v>
      </c>
      <c r="EU44" s="99">
        <v>16.5707054409006</v>
      </c>
      <c r="EV44" s="99">
        <v>16.633050656660402</v>
      </c>
      <c r="EW44" s="99">
        <v>16.695395872420299</v>
      </c>
      <c r="EX44" s="99">
        <v>16.757741088180101</v>
      </c>
      <c r="EY44" s="99">
        <v>16.820086303939998</v>
      </c>
      <c r="EZ44" s="99">
        <v>16.8824315196998</v>
      </c>
      <c r="FA44" s="99">
        <v>16.944776735459701</v>
      </c>
      <c r="FB44" s="99">
        <v>17.007121951219499</v>
      </c>
      <c r="FC44" s="99">
        <v>17.0694671669794</v>
      </c>
      <c r="FD44" s="99">
        <v>17.131812382739199</v>
      </c>
      <c r="FE44" s="99">
        <v>17.1941575984991</v>
      </c>
      <c r="FF44" s="99">
        <v>17.256502814258901</v>
      </c>
      <c r="FG44" s="99">
        <v>17.3188480300187</v>
      </c>
      <c r="FH44" s="99">
        <v>17.381193245778601</v>
      </c>
      <c r="FI44" s="99">
        <v>17.443538461538399</v>
      </c>
      <c r="FJ44" s="99">
        <v>17.5058836772983</v>
      </c>
      <c r="FK44" s="99">
        <v>17.568228893058102</v>
      </c>
      <c r="FL44" s="99">
        <v>17.630574108817999</v>
      </c>
      <c r="FM44" s="99">
        <v>17.692919324577801</v>
      </c>
      <c r="FN44" s="99">
        <v>17.755264540337699</v>
      </c>
      <c r="FO44" s="99">
        <v>17.8176097560975</v>
      </c>
      <c r="FP44" s="99">
        <v>17.879954971857401</v>
      </c>
      <c r="FQ44" s="99">
        <v>17.942300187617199</v>
      </c>
      <c r="FR44" s="99">
        <v>18.004645403377101</v>
      </c>
      <c r="FS44" s="99">
        <v>18.066990619136899</v>
      </c>
      <c r="FT44" s="99">
        <v>18.1293358348968</v>
      </c>
      <c r="FU44" s="99">
        <v>18.191681050656602</v>
      </c>
      <c r="FV44" s="99">
        <v>18.254026266416499</v>
      </c>
      <c r="FW44" s="99">
        <v>18.316371482176301</v>
      </c>
      <c r="FX44" s="99">
        <v>18.378716697936198</v>
      </c>
      <c r="FY44" s="99">
        <v>18.441061913696</v>
      </c>
      <c r="FZ44" s="99">
        <v>18.503407129455901</v>
      </c>
      <c r="GA44" s="99">
        <v>18.565752345215699</v>
      </c>
      <c r="GB44" s="99">
        <v>18.628097560975601</v>
      </c>
      <c r="GC44" s="99">
        <v>18.690442776735399</v>
      </c>
      <c r="GD44" s="99">
        <v>18.7527879924953</v>
      </c>
      <c r="GE44" s="99">
        <v>18.815133208255101</v>
      </c>
      <c r="GF44" s="99">
        <v>18.877478424014999</v>
      </c>
      <c r="GG44" s="99">
        <v>18.939823639774801</v>
      </c>
      <c r="GH44" s="99">
        <v>19.002168855534698</v>
      </c>
      <c r="GI44" s="99">
        <v>19.0645140712945</v>
      </c>
      <c r="GJ44" s="99">
        <v>19.126859287054401</v>
      </c>
      <c r="GK44" s="99">
        <v>19.189204502814199</v>
      </c>
      <c r="GL44" s="99">
        <v>19.2515497185741</v>
      </c>
      <c r="GM44" s="99">
        <v>19.313894934333899</v>
      </c>
      <c r="GN44" s="99">
        <v>19.3762401500938</v>
      </c>
      <c r="GO44" s="99">
        <v>19.438585365853601</v>
      </c>
      <c r="GP44" s="99">
        <v>19.500930581613499</v>
      </c>
      <c r="GQ44" s="99">
        <v>19.563275797373301</v>
      </c>
      <c r="GR44" s="99">
        <v>19.625621013133198</v>
      </c>
      <c r="GS44" s="99">
        <v>19.687966228893</v>
      </c>
      <c r="GT44" s="99">
        <v>19.750311444652901</v>
      </c>
      <c r="GU44" s="99">
        <v>19.812656660412699</v>
      </c>
      <c r="GV44" s="99">
        <v>19.8750018761726</v>
      </c>
      <c r="GW44" s="99">
        <v>19.937347091932399</v>
      </c>
      <c r="GX44" s="99">
        <v>19.9996923076923</v>
      </c>
      <c r="GY44" s="99">
        <v>20.062037523452101</v>
      </c>
      <c r="GZ44" s="99">
        <v>20.124382739211999</v>
      </c>
      <c r="HA44" s="99">
        <v>20.186727954971801</v>
      </c>
      <c r="HB44" s="99">
        <v>20.249073170731702</v>
      </c>
      <c r="HC44" s="99">
        <v>20.3114183864915</v>
      </c>
      <c r="HD44" s="99">
        <v>20.373763602251401</v>
      </c>
      <c r="HE44" s="99">
        <v>20.436108818011199</v>
      </c>
      <c r="HF44" s="99">
        <v>20.4984540337711</v>
      </c>
      <c r="HG44" s="99">
        <v>20.560799249530898</v>
      </c>
      <c r="HH44" s="99">
        <v>20.6231444652908</v>
      </c>
      <c r="HI44" s="99">
        <v>20.685489681050601</v>
      </c>
      <c r="HJ44" s="99">
        <v>20.747834896810499</v>
      </c>
      <c r="HK44" s="99">
        <v>20.810180112570301</v>
      </c>
      <c r="HL44" s="99">
        <v>20.872525328330202</v>
      </c>
      <c r="HM44" s="99">
        <v>20.93487054409</v>
      </c>
      <c r="HN44" s="99">
        <v>20.997215759849901</v>
      </c>
      <c r="HO44" s="99">
        <v>21.059560975609699</v>
      </c>
      <c r="HP44" s="99">
        <v>21.1219061913696</v>
      </c>
      <c r="HQ44" s="99">
        <v>21.184251407129398</v>
      </c>
      <c r="HR44" s="99">
        <v>21.2465966228893</v>
      </c>
      <c r="HS44" s="99">
        <v>21.308941838649101</v>
      </c>
      <c r="HT44" s="99">
        <v>21.371287054408999</v>
      </c>
      <c r="HU44" s="99">
        <v>21.4336322701688</v>
      </c>
      <c r="HV44" s="99">
        <v>21.495977485928702</v>
      </c>
      <c r="HW44" s="99">
        <v>21.5583227016885</v>
      </c>
      <c r="HX44" s="99">
        <v>21.620667917448401</v>
      </c>
      <c r="HY44" s="99">
        <v>21.683013133208199</v>
      </c>
      <c r="HZ44" s="99">
        <v>21.7453583489681</v>
      </c>
      <c r="IA44" s="99">
        <v>21.807703564727898</v>
      </c>
      <c r="IB44" s="99">
        <v>21.870048780487799</v>
      </c>
      <c r="IC44" s="99">
        <v>21.932393996247601</v>
      </c>
      <c r="ID44" s="99">
        <v>21.994739212007499</v>
      </c>
      <c r="IE44" s="99">
        <v>22.0570844277673</v>
      </c>
      <c r="IF44" s="99">
        <v>22.119429643527202</v>
      </c>
      <c r="IG44" s="99">
        <v>22.181774859287</v>
      </c>
      <c r="IH44" s="99">
        <v>22.244120075046901</v>
      </c>
      <c r="II44" s="99">
        <v>22.306465290806699</v>
      </c>
      <c r="IJ44" s="99">
        <v>22.3688105065666</v>
      </c>
      <c r="IK44" s="99">
        <v>22.431155722326402</v>
      </c>
      <c r="IL44" s="99">
        <v>22.493500938086299</v>
      </c>
      <c r="IM44" s="99">
        <v>22.555846153846101</v>
      </c>
      <c r="IN44" s="99">
        <v>22.618191369605999</v>
      </c>
      <c r="IO44" s="99">
        <v>22.6805365853658</v>
      </c>
      <c r="IP44" s="99">
        <v>22.742881801125701</v>
      </c>
      <c r="IQ44" s="99">
        <v>22.8052270168855</v>
      </c>
      <c r="IR44" s="99">
        <v>22.867572232645401</v>
      </c>
      <c r="IS44" s="99">
        <v>22.929917448405199</v>
      </c>
      <c r="IT44" s="99">
        <v>22.9922626641651</v>
      </c>
      <c r="IU44" s="99">
        <v>23.054607879924902</v>
      </c>
      <c r="IV44" s="99">
        <v>23.116953095684799</v>
      </c>
      <c r="IW44" s="99">
        <v>23.179298311444601</v>
      </c>
      <c r="IX44" s="99">
        <v>23.241643527204499</v>
      </c>
      <c r="IY44" s="99">
        <v>23.3039887429643</v>
      </c>
      <c r="IZ44" s="99">
        <v>23.366333958724201</v>
      </c>
      <c r="JA44" s="99">
        <v>23.428679174484</v>
      </c>
      <c r="JB44" s="99">
        <v>23.491024390243901</v>
      </c>
      <c r="JC44" s="99">
        <v>23.553369606003699</v>
      </c>
      <c r="JD44" s="99">
        <v>23.6157148217636</v>
      </c>
      <c r="JE44" s="99">
        <v>23.678060037523402</v>
      </c>
      <c r="JF44" s="99">
        <v>23.740405253283299</v>
      </c>
      <c r="JG44" s="99">
        <v>23.802750469043101</v>
      </c>
      <c r="JH44" s="99">
        <v>23.865095684802998</v>
      </c>
      <c r="JI44" s="99">
        <v>23.9274409005628</v>
      </c>
      <c r="JJ44" s="99">
        <v>23.989786116322701</v>
      </c>
      <c r="JK44" s="99">
        <v>24.052131332082499</v>
      </c>
      <c r="JL44" s="99">
        <v>24.114476547842401</v>
      </c>
      <c r="JM44" s="99">
        <v>24.176821763602199</v>
      </c>
      <c r="JN44" s="99">
        <v>24.2391669793621</v>
      </c>
      <c r="JO44" s="99">
        <v>24.301512195121902</v>
      </c>
      <c r="JP44" s="99">
        <v>24.363857410881799</v>
      </c>
      <c r="JQ44" s="99">
        <v>24.426202626641601</v>
      </c>
      <c r="JR44" s="99">
        <v>24.488547842401498</v>
      </c>
      <c r="JS44" s="99">
        <v>24.5508930581613</v>
      </c>
      <c r="JT44" s="99">
        <v>24.613238273921201</v>
      </c>
      <c r="JU44" s="99">
        <v>24.675583489680999</v>
      </c>
      <c r="JV44" s="99">
        <v>24.737928705440901</v>
      </c>
      <c r="JW44" s="99">
        <v>24.800273921200699</v>
      </c>
      <c r="JX44" s="99">
        <v>24.8626191369606</v>
      </c>
      <c r="JY44" s="99">
        <v>24.924964352720401</v>
      </c>
      <c r="JZ44" s="99">
        <v>24.987309568480299</v>
      </c>
      <c r="KA44" s="99">
        <v>25.049654784240101</v>
      </c>
      <c r="KB44" s="99">
        <v>25.111999999999998</v>
      </c>
      <c r="KC44" s="99">
        <v>25.1743452157598</v>
      </c>
      <c r="KD44" s="99">
        <v>25.236690431519701</v>
      </c>
      <c r="KE44" s="99">
        <v>25.299035647279499</v>
      </c>
      <c r="KF44" s="99">
        <v>25.3613808630394</v>
      </c>
      <c r="KG44" s="99">
        <v>25.423726078799199</v>
      </c>
      <c r="KH44" s="99">
        <v>25.4860712945591</v>
      </c>
      <c r="KI44" s="99">
        <v>25.548416510318901</v>
      </c>
      <c r="KJ44" s="99">
        <v>25.610761726078799</v>
      </c>
      <c r="KK44" s="99">
        <v>25.673106941838601</v>
      </c>
      <c r="KL44" s="99">
        <v>25.735452157598498</v>
      </c>
      <c r="KM44" s="99">
        <v>25.7977973733583</v>
      </c>
      <c r="KN44" s="99">
        <v>25.860142589118201</v>
      </c>
      <c r="KO44" s="99">
        <v>25.922487804877999</v>
      </c>
      <c r="KP44" s="99">
        <v>25.9848330206379</v>
      </c>
      <c r="KQ44" s="99">
        <v>26.047178236397698</v>
      </c>
      <c r="KR44" s="99">
        <v>26.1095234521576</v>
      </c>
      <c r="KS44" s="99">
        <v>26.171868667917401</v>
      </c>
      <c r="KT44" s="99">
        <v>26.234213883677299</v>
      </c>
      <c r="KU44" s="99">
        <v>26.296559099437101</v>
      </c>
      <c r="KV44" s="99">
        <v>26.358904315197002</v>
      </c>
      <c r="KW44" s="99">
        <v>26.4212495309568</v>
      </c>
      <c r="KX44" s="99">
        <v>26.483594746716701</v>
      </c>
      <c r="KY44" s="99">
        <v>26.545939962476499</v>
      </c>
      <c r="KZ44" s="99">
        <v>26.6082851782364</v>
      </c>
      <c r="LA44" s="99">
        <v>26.670630393996198</v>
      </c>
      <c r="LB44" s="99">
        <v>26.7329756097561</v>
      </c>
      <c r="LC44" s="99">
        <v>26.795320825515901</v>
      </c>
      <c r="LD44" s="99">
        <v>26.857666041275799</v>
      </c>
      <c r="LE44" s="99">
        <v>26.9200112570356</v>
      </c>
      <c r="LF44" s="99">
        <v>26.982356472795502</v>
      </c>
      <c r="LG44" s="99">
        <v>27.0447016885553</v>
      </c>
      <c r="LH44" s="99">
        <v>27.107046904315201</v>
      </c>
      <c r="LI44" s="99">
        <v>27.169392120074999</v>
      </c>
      <c r="LJ44" s="99">
        <v>27.2317373358349</v>
      </c>
      <c r="LK44" s="99">
        <v>27.294082551594698</v>
      </c>
      <c r="LL44" s="99">
        <v>27.356427767354599</v>
      </c>
      <c r="LM44" s="99">
        <v>27.418772983114401</v>
      </c>
      <c r="LN44" s="99">
        <v>27.481118198874299</v>
      </c>
      <c r="LO44" s="99">
        <v>27.5434634146341</v>
      </c>
      <c r="LP44" s="99">
        <v>27.605808630394002</v>
      </c>
      <c r="LQ44" s="99">
        <v>27.6681538461538</v>
      </c>
      <c r="LR44" s="99">
        <v>27.730499061913701</v>
      </c>
      <c r="LS44" s="99">
        <v>27.792844277673499</v>
      </c>
      <c r="LT44" s="99">
        <v>27.8551894934334</v>
      </c>
      <c r="LU44" s="99">
        <v>27.917534709193198</v>
      </c>
      <c r="LV44" s="99">
        <v>27.979879924953099</v>
      </c>
      <c r="LW44" s="99">
        <v>28.042225140712901</v>
      </c>
      <c r="LX44" s="99">
        <v>28.104570356472799</v>
      </c>
      <c r="LY44" s="99">
        <v>28.1669155722326</v>
      </c>
      <c r="LZ44" s="99">
        <v>28.229260787992501</v>
      </c>
      <c r="MA44" s="99">
        <v>28.2916060037523</v>
      </c>
      <c r="MB44" s="99">
        <v>28.353951219512201</v>
      </c>
      <c r="MC44" s="99">
        <v>28.416296435271999</v>
      </c>
      <c r="MD44" s="99">
        <v>28.4786416510319</v>
      </c>
      <c r="ME44" s="99">
        <v>28.540986866791702</v>
      </c>
      <c r="MF44" s="99">
        <v>28.603332082551599</v>
      </c>
      <c r="MG44" s="99">
        <v>28.665677298311401</v>
      </c>
      <c r="MH44" s="99">
        <v>28.728022514071299</v>
      </c>
      <c r="MI44" s="99">
        <v>28.7903677298311</v>
      </c>
      <c r="MJ44" s="99">
        <v>28.852712945591001</v>
      </c>
      <c r="MK44" s="99">
        <v>28.9150581613508</v>
      </c>
      <c r="ML44" s="99">
        <v>28.977403377110701</v>
      </c>
      <c r="MM44" s="99">
        <v>29.039748592870499</v>
      </c>
      <c r="MN44" s="99">
        <v>29.1020938086304</v>
      </c>
      <c r="MO44" s="99">
        <v>29.164439024390202</v>
      </c>
      <c r="MP44" s="99">
        <v>29.226784240150099</v>
      </c>
      <c r="MQ44" s="99">
        <v>29.289129455909901</v>
      </c>
      <c r="MR44" s="99">
        <v>29.351474671669799</v>
      </c>
      <c r="MS44" s="99">
        <v>29.4138198874296</v>
      </c>
      <c r="MT44" s="99">
        <v>29.476165103189501</v>
      </c>
      <c r="MU44" s="99">
        <v>29.538510318949299</v>
      </c>
      <c r="MV44" s="99">
        <v>29.600855534709201</v>
      </c>
      <c r="MW44" s="99">
        <v>29.663200750468999</v>
      </c>
      <c r="MX44" s="99">
        <v>29.7255459662289</v>
      </c>
      <c r="MY44" s="99">
        <v>29.787891181988702</v>
      </c>
      <c r="MZ44" s="99">
        <v>29.850236397748599</v>
      </c>
      <c r="NA44" s="99">
        <v>29.912581613508401</v>
      </c>
      <c r="NB44" s="99">
        <v>29.974926829268298</v>
      </c>
      <c r="NC44" s="99">
        <v>30.0372720450281</v>
      </c>
      <c r="ND44" s="99">
        <v>30.099617260788001</v>
      </c>
      <c r="NE44" s="99">
        <v>30.161962476547799</v>
      </c>
      <c r="NF44" s="99">
        <v>30.224307692307701</v>
      </c>
      <c r="NG44" s="99">
        <v>30.286652908067499</v>
      </c>
      <c r="NH44" s="99">
        <v>30.3489981238274</v>
      </c>
      <c r="NI44" s="99">
        <v>30.411343339587201</v>
      </c>
      <c r="NJ44" s="99">
        <v>30.473688555347099</v>
      </c>
      <c r="NK44" s="99">
        <v>30.536033771106901</v>
      </c>
      <c r="NL44" s="99">
        <v>30.598378986866798</v>
      </c>
      <c r="NM44" s="99">
        <v>30.6607242026266</v>
      </c>
      <c r="NN44" s="99">
        <v>30.723069418386501</v>
      </c>
      <c r="NO44" s="99">
        <v>30.785414634146299</v>
      </c>
      <c r="NP44" s="99">
        <v>30.8477598499062</v>
      </c>
      <c r="NQ44" s="99">
        <v>30.910105065665999</v>
      </c>
      <c r="NR44" s="99">
        <v>30.9724502814259</v>
      </c>
      <c r="NS44" s="99">
        <v>31.034795497185701</v>
      </c>
      <c r="NT44" s="99">
        <v>31.097140712945599</v>
      </c>
      <c r="NU44" s="99">
        <v>31.159485928705401</v>
      </c>
      <c r="NV44" s="99">
        <v>31.221831144465298</v>
      </c>
      <c r="NW44" s="99">
        <v>31.2841763602251</v>
      </c>
      <c r="NX44" s="99">
        <v>31.346521575985001</v>
      </c>
      <c r="NY44" s="99">
        <v>31.408866791744799</v>
      </c>
      <c r="NZ44" s="99">
        <v>31.4712120075047</v>
      </c>
      <c r="OA44" s="99">
        <v>31.533557223264499</v>
      </c>
      <c r="OB44" s="99">
        <v>31.5959024390244</v>
      </c>
      <c r="OC44" s="99">
        <v>31.658247654784201</v>
      </c>
      <c r="OD44" s="99">
        <v>31.720592870544099</v>
      </c>
      <c r="OE44" s="99">
        <v>31.782938086303901</v>
      </c>
      <c r="OF44" s="99">
        <v>31.845283302063802</v>
      </c>
      <c r="OG44" s="99">
        <v>31.9076285178236</v>
      </c>
      <c r="OH44" s="99">
        <v>31.969973733583501</v>
      </c>
      <c r="OI44" s="99">
        <v>32.032318949343299</v>
      </c>
      <c r="OJ44" s="99">
        <v>32.094664165103197</v>
      </c>
      <c r="OK44" s="99">
        <v>32.157009380863002</v>
      </c>
      <c r="OL44" s="99">
        <v>32.2193545966229</v>
      </c>
      <c r="OM44" s="99">
        <v>32.281699812382698</v>
      </c>
      <c r="ON44" s="99">
        <v>32.344045028142602</v>
      </c>
      <c r="OO44" s="99">
        <v>32.406390243902401</v>
      </c>
      <c r="OP44" s="99">
        <v>32.468735459662298</v>
      </c>
      <c r="OQ44" s="99">
        <v>32.531080675422103</v>
      </c>
      <c r="OR44" s="99">
        <v>32.593425891182001</v>
      </c>
      <c r="OS44" s="99">
        <v>32.655771106941799</v>
      </c>
      <c r="OT44" s="99">
        <v>32.718116322701697</v>
      </c>
      <c r="OU44" s="99">
        <v>32.780461538461502</v>
      </c>
      <c r="OV44" s="99">
        <v>32.8428067542214</v>
      </c>
      <c r="OW44" s="99">
        <v>32.905151969981198</v>
      </c>
      <c r="OX44" s="99">
        <v>32.967497185741102</v>
      </c>
      <c r="OY44" s="99">
        <v>33.0298424015009</v>
      </c>
      <c r="OZ44" s="99">
        <v>33.092187617260798</v>
      </c>
      <c r="PA44" s="99">
        <v>33.154532833020603</v>
      </c>
      <c r="PB44" s="99">
        <v>33.216878048780501</v>
      </c>
      <c r="PC44" s="99">
        <v>33.279223264540299</v>
      </c>
      <c r="PD44" s="99">
        <v>33.341568480300197</v>
      </c>
      <c r="PE44" s="99">
        <v>33.403913696060002</v>
      </c>
      <c r="PF44" s="99">
        <v>33.466258911819899</v>
      </c>
      <c r="PG44" s="99">
        <v>33.528604127579698</v>
      </c>
      <c r="PH44" s="99">
        <v>33.590949343339602</v>
      </c>
      <c r="PI44" s="99">
        <v>33.6532945590994</v>
      </c>
      <c r="PJ44" s="99">
        <v>33.715639774859298</v>
      </c>
      <c r="PK44" s="99">
        <v>33.777984990619103</v>
      </c>
      <c r="PL44" s="99">
        <v>33.840330206379001</v>
      </c>
      <c r="PM44" s="99">
        <v>33.902675422138799</v>
      </c>
      <c r="PN44" s="99">
        <v>33.965020637898697</v>
      </c>
      <c r="PO44" s="99">
        <v>34.027365853658502</v>
      </c>
      <c r="PP44" s="99">
        <v>34.089711069418399</v>
      </c>
      <c r="PQ44" s="99">
        <v>34.152056285178197</v>
      </c>
      <c r="PR44" s="99">
        <v>34.214401500938102</v>
      </c>
      <c r="PS44" s="99">
        <v>34.2767467166979</v>
      </c>
      <c r="PT44" s="99">
        <v>34.339091932457798</v>
      </c>
      <c r="PU44" s="99">
        <v>34.401437148217603</v>
      </c>
      <c r="PV44" s="99">
        <v>34.463782363977501</v>
      </c>
      <c r="PW44" s="99">
        <v>34.526127579737299</v>
      </c>
      <c r="PX44" s="99">
        <v>34.588472795497204</v>
      </c>
      <c r="PY44" s="99">
        <v>34.650818011257002</v>
      </c>
      <c r="PZ44" s="99">
        <v>34.713163227016899</v>
      </c>
      <c r="QA44" s="99">
        <v>34.775508442776697</v>
      </c>
      <c r="QB44" s="99">
        <v>34.837853658536602</v>
      </c>
      <c r="QC44" s="99">
        <v>34.9001988742964</v>
      </c>
      <c r="QD44" s="99">
        <v>34.962544090056298</v>
      </c>
      <c r="QE44" s="99">
        <v>35.024889305816103</v>
      </c>
      <c r="QF44" s="99">
        <v>35.087234521576001</v>
      </c>
      <c r="QG44" s="99">
        <v>35.149579737335799</v>
      </c>
      <c r="QH44" s="99">
        <v>35.211924953095703</v>
      </c>
      <c r="QI44" s="99">
        <v>35.274270168855502</v>
      </c>
      <c r="QJ44" s="99">
        <v>35.336615384615399</v>
      </c>
      <c r="QK44" s="99">
        <v>35.398960600375197</v>
      </c>
      <c r="QL44" s="99">
        <v>35.461305816135102</v>
      </c>
      <c r="QM44" s="99">
        <v>35.5236510318949</v>
      </c>
      <c r="QN44" s="99">
        <v>35.585996247654798</v>
      </c>
      <c r="QO44" s="99">
        <v>35.648341463414603</v>
      </c>
      <c r="QP44" s="99">
        <v>35.710686679174501</v>
      </c>
      <c r="QQ44" s="99">
        <v>35.773031894934299</v>
      </c>
      <c r="QR44" s="99">
        <v>35.835377110694203</v>
      </c>
      <c r="QS44" s="99">
        <v>35.897722326454002</v>
      </c>
      <c r="QT44" s="99">
        <v>35.960067542213899</v>
      </c>
      <c r="QU44" s="99">
        <v>36.022412757973697</v>
      </c>
      <c r="QV44" s="99">
        <v>36.084757973733602</v>
      </c>
      <c r="QW44" s="99">
        <v>36.1471031894934</v>
      </c>
      <c r="QX44" s="99">
        <v>36.209448405253298</v>
      </c>
      <c r="QY44" s="99">
        <v>36.271793621013103</v>
      </c>
      <c r="QZ44" s="99">
        <v>36.334138836773</v>
      </c>
      <c r="RA44" s="99">
        <v>36.396484052532799</v>
      </c>
      <c r="RB44" s="99">
        <v>36.458829268292703</v>
      </c>
      <c r="RC44" s="99">
        <v>36.521174484052501</v>
      </c>
      <c r="RD44" s="99">
        <v>36.583519699812399</v>
      </c>
      <c r="RE44" s="99">
        <v>36.645864915572197</v>
      </c>
      <c r="RF44" s="99">
        <v>36.708210131332102</v>
      </c>
      <c r="RG44" s="99">
        <v>36.7705553470919</v>
      </c>
      <c r="RH44" s="99">
        <v>36.832900562851798</v>
      </c>
      <c r="RI44" s="99">
        <v>36.895245778611603</v>
      </c>
      <c r="RJ44" s="99">
        <v>36.9575909943715</v>
      </c>
      <c r="RK44" s="99">
        <v>37.019936210131299</v>
      </c>
      <c r="RL44" s="99">
        <v>37.082281425891203</v>
      </c>
      <c r="RM44" s="99">
        <v>37.144626641651001</v>
      </c>
      <c r="RN44" s="99">
        <v>37.206971857410899</v>
      </c>
      <c r="RO44" s="99">
        <v>37.269317073170697</v>
      </c>
      <c r="RP44" s="99">
        <v>37.331662288930602</v>
      </c>
      <c r="RQ44" s="99">
        <v>37.3940075046904</v>
      </c>
      <c r="RR44" s="99">
        <v>37.456352720450298</v>
      </c>
      <c r="RS44" s="99">
        <v>37.518697936210103</v>
      </c>
      <c r="RT44" s="99">
        <v>37.58104315197</v>
      </c>
      <c r="RU44" s="99">
        <v>37.643388367729798</v>
      </c>
      <c r="RV44" s="99">
        <v>37.705733583489703</v>
      </c>
      <c r="RW44" s="99">
        <v>37.768078799249501</v>
      </c>
      <c r="RX44" s="99">
        <v>37.830424015009399</v>
      </c>
      <c r="RY44" s="99">
        <v>37.892769230769197</v>
      </c>
      <c r="RZ44" s="99">
        <v>37.955114446529102</v>
      </c>
      <c r="SA44" s="99">
        <v>38.0174596622889</v>
      </c>
      <c r="SB44" s="99">
        <v>38.079804878048797</v>
      </c>
      <c r="SC44" s="99">
        <v>38.142150093808603</v>
      </c>
      <c r="SD44" s="99">
        <v>38.2044953095685</v>
      </c>
      <c r="SE44" s="99">
        <v>38.266840525328298</v>
      </c>
      <c r="SF44" s="99">
        <v>38.329185741088203</v>
      </c>
      <c r="SG44" s="99">
        <v>38.391530956848001</v>
      </c>
      <c r="SH44" s="99">
        <v>38.453876172607899</v>
      </c>
      <c r="SI44" s="99">
        <v>38.516221388367697</v>
      </c>
      <c r="SJ44" s="99">
        <v>38.578566604127602</v>
      </c>
      <c r="SK44" s="99">
        <v>38.6409118198874</v>
      </c>
      <c r="SL44" s="99">
        <v>38.703257035647297</v>
      </c>
      <c r="SM44" s="99">
        <v>38.765602251407103</v>
      </c>
      <c r="SN44" s="99">
        <v>38.827947467167</v>
      </c>
      <c r="SO44" s="99">
        <v>38.890292682926798</v>
      </c>
      <c r="SP44" s="99">
        <v>38.952637898686703</v>
      </c>
      <c r="SQ44" s="99">
        <v>39.014983114446501</v>
      </c>
      <c r="SR44" s="99">
        <v>39.077328330206399</v>
      </c>
      <c r="SS44" s="99">
        <v>39.139673545966197</v>
      </c>
      <c r="ST44" s="99">
        <v>39.202018761726102</v>
      </c>
      <c r="SU44" s="99">
        <v>39.2643639774859</v>
      </c>
      <c r="SV44" s="99">
        <v>39.326709193245797</v>
      </c>
      <c r="SW44" s="99">
        <v>39.389054409005603</v>
      </c>
      <c r="SX44" s="99">
        <v>39.4513996247655</v>
      </c>
      <c r="SY44" s="99">
        <v>39.513744840525298</v>
      </c>
      <c r="SZ44" s="99">
        <v>39.576090056285203</v>
      </c>
      <c r="TA44" s="99">
        <v>39.638435272045001</v>
      </c>
      <c r="TB44" s="99">
        <v>39.700780487804899</v>
      </c>
      <c r="TC44" s="99">
        <v>39.763125703564697</v>
      </c>
      <c r="TD44" s="99">
        <v>39.825470919324502</v>
      </c>
      <c r="TE44" s="99">
        <v>39.8878161350844</v>
      </c>
      <c r="TF44" s="99">
        <v>39.950161350844297</v>
      </c>
      <c r="TG44" s="99">
        <v>40.012506566604102</v>
      </c>
      <c r="TH44" s="99">
        <v>40.074851782364</v>
      </c>
      <c r="TI44" s="99">
        <v>40.137196998123798</v>
      </c>
      <c r="TJ44" s="99">
        <v>40.199542213883703</v>
      </c>
      <c r="TK44" s="99">
        <v>40.261887429643501</v>
      </c>
      <c r="TL44" s="99">
        <v>40.324232645403399</v>
      </c>
      <c r="TM44" s="99">
        <v>40.386577861163197</v>
      </c>
      <c r="TN44" s="99">
        <v>40.448923076923002</v>
      </c>
      <c r="TO44" s="99">
        <v>40.5112682926829</v>
      </c>
      <c r="TP44" s="99">
        <v>40.573613508442797</v>
      </c>
      <c r="TQ44" s="99">
        <v>40.635958724202602</v>
      </c>
      <c r="TR44" s="99">
        <v>40.6983039399624</v>
      </c>
      <c r="TS44" s="99">
        <v>40.760649155722298</v>
      </c>
      <c r="TT44" s="99">
        <v>40.822994371482203</v>
      </c>
      <c r="TU44" s="99">
        <v>40.885339587242001</v>
      </c>
      <c r="TV44" s="99">
        <v>40.947684803001899</v>
      </c>
      <c r="TW44" s="99">
        <v>41.010030018761697</v>
      </c>
      <c r="TX44" s="99">
        <v>41.072375234521502</v>
      </c>
      <c r="TY44" s="99">
        <v>41.134720450281399</v>
      </c>
      <c r="TZ44" s="99">
        <v>41.197065666041297</v>
      </c>
      <c r="UA44" s="99">
        <v>41.259410881801102</v>
      </c>
      <c r="UB44" s="99">
        <v>41.3217560975609</v>
      </c>
      <c r="UC44" s="99">
        <v>41.384101313320798</v>
      </c>
      <c r="UD44" s="99">
        <v>41.446446529080703</v>
      </c>
      <c r="UE44" s="99">
        <v>41.508791744840501</v>
      </c>
      <c r="UF44" s="99">
        <v>41.571136960600299</v>
      </c>
      <c r="UG44" s="99">
        <v>41.633482176360197</v>
      </c>
      <c r="UH44" s="99">
        <v>41.695827392120002</v>
      </c>
      <c r="UI44" s="99">
        <v>41.758172607879899</v>
      </c>
      <c r="UJ44" s="99">
        <v>41.820517823639797</v>
      </c>
      <c r="UK44" s="99">
        <v>41.882863039399602</v>
      </c>
      <c r="UL44" s="99">
        <v>41.9452082551594</v>
      </c>
      <c r="UM44" s="99">
        <v>42.007553470919298</v>
      </c>
      <c r="UN44" s="99">
        <v>42.069898686679203</v>
      </c>
      <c r="UO44" s="99">
        <v>42.132243902439001</v>
      </c>
      <c r="UP44" s="99">
        <v>42.194589118198799</v>
      </c>
      <c r="UQ44" s="99">
        <v>42.256934333958696</v>
      </c>
      <c r="UR44" s="99">
        <v>42.319279549718502</v>
      </c>
      <c r="US44" s="99">
        <v>42.381624765478399</v>
      </c>
      <c r="UT44" s="99">
        <v>42.443969981238297</v>
      </c>
    </row>
    <row r="45" spans="1:566" x14ac:dyDescent="0.2">
      <c r="A45" s="89">
        <v>19.5</v>
      </c>
      <c r="B45" s="90">
        <v>7.21</v>
      </c>
      <c r="C45" s="90">
        <v>7.27</v>
      </c>
      <c r="D45" s="90">
        <v>7.33</v>
      </c>
      <c r="E45" s="90">
        <v>7.39</v>
      </c>
      <c r="F45" s="90">
        <v>7.45</v>
      </c>
      <c r="G45" s="90">
        <v>7.52</v>
      </c>
      <c r="H45" s="90">
        <v>7.58</v>
      </c>
      <c r="I45" s="90">
        <v>7.64</v>
      </c>
      <c r="J45" s="90">
        <v>7.7</v>
      </c>
      <c r="K45" s="90">
        <v>7.76</v>
      </c>
      <c r="L45" s="90">
        <v>7.82</v>
      </c>
      <c r="M45" s="90">
        <v>7.89</v>
      </c>
      <c r="N45" s="90">
        <v>7.95</v>
      </c>
      <c r="O45" s="90">
        <v>8.01</v>
      </c>
      <c r="P45" s="90">
        <v>8.07</v>
      </c>
      <c r="Q45" s="90">
        <v>8.1300000000000008</v>
      </c>
      <c r="R45" s="90">
        <v>8.1999999999999993</v>
      </c>
      <c r="S45" s="90">
        <v>8.26</v>
      </c>
      <c r="T45" s="90">
        <v>8.32</v>
      </c>
      <c r="U45" s="91">
        <v>8.3800000000000008</v>
      </c>
      <c r="V45" s="90">
        <v>8.44</v>
      </c>
      <c r="W45" s="90">
        <v>8.5</v>
      </c>
      <c r="X45" s="90">
        <v>8.57</v>
      </c>
      <c r="Y45" s="90">
        <v>8.6300000000000008</v>
      </c>
      <c r="Z45" s="90">
        <v>8.69</v>
      </c>
      <c r="AA45" s="90">
        <v>8.75</v>
      </c>
      <c r="AB45" s="90">
        <v>8.81</v>
      </c>
      <c r="AC45" s="90">
        <v>8.8699999999999992</v>
      </c>
      <c r="AD45" s="90">
        <v>8.94</v>
      </c>
      <c r="AE45" s="90">
        <v>9</v>
      </c>
      <c r="AF45" s="90">
        <v>9.06</v>
      </c>
      <c r="AG45" s="90">
        <v>9.1199999999999992</v>
      </c>
      <c r="AH45" s="90">
        <v>9.18</v>
      </c>
      <c r="AI45" s="90">
        <v>9.25</v>
      </c>
      <c r="AJ45" s="90">
        <v>9.31</v>
      </c>
      <c r="AK45" s="90">
        <v>9.3699999999999992</v>
      </c>
      <c r="AL45" s="90">
        <v>9.43</v>
      </c>
      <c r="AM45" s="90">
        <v>9.49</v>
      </c>
      <c r="AN45" s="90">
        <v>9.5500000000000007</v>
      </c>
      <c r="AO45" s="91">
        <v>9.6199999999999992</v>
      </c>
      <c r="AP45" s="90">
        <v>9.6776538461538397</v>
      </c>
      <c r="AQ45" s="90">
        <v>9.7394174484052503</v>
      </c>
      <c r="AR45" s="90">
        <v>9.8011810506566608</v>
      </c>
      <c r="AS45" s="90">
        <v>9.8629446529080695</v>
      </c>
      <c r="AT45" s="90">
        <v>9.9247082551594694</v>
      </c>
      <c r="AU45" s="90">
        <v>9.9864718574108799</v>
      </c>
      <c r="AV45" s="90">
        <v>10.048235459662299</v>
      </c>
      <c r="AW45" s="90">
        <v>10.109999061913699</v>
      </c>
      <c r="AX45" s="90">
        <v>10.171762664165101</v>
      </c>
      <c r="AY45" s="90">
        <v>10.233526266416501</v>
      </c>
      <c r="AZ45" s="90">
        <v>10.295289868667901</v>
      </c>
      <c r="BA45" s="90">
        <v>10.357053470919301</v>
      </c>
      <c r="BB45" s="90">
        <v>10.4188170731707</v>
      </c>
      <c r="BC45" s="90">
        <v>10.4805806754221</v>
      </c>
      <c r="BD45" s="90">
        <v>10.5423442776735</v>
      </c>
      <c r="BE45" s="90">
        <v>10.604107879924999</v>
      </c>
      <c r="BF45" s="90">
        <v>10.665871482176399</v>
      </c>
      <c r="BG45" s="90">
        <v>10.727635084427799</v>
      </c>
      <c r="BH45" s="90">
        <v>10.789398686679201</v>
      </c>
      <c r="BI45" s="91">
        <v>10.851162288930601</v>
      </c>
      <c r="BJ45" s="90">
        <v>10.912925891182001</v>
      </c>
      <c r="BK45" s="99">
        <v>10.974689493433401</v>
      </c>
      <c r="BL45" s="99">
        <v>11.0364530956848</v>
      </c>
      <c r="BM45" s="99">
        <v>11.0982166979362</v>
      </c>
      <c r="BN45" s="99">
        <v>11.1599803001876</v>
      </c>
      <c r="BO45" s="99">
        <v>11.221743902439</v>
      </c>
      <c r="BP45" s="99">
        <v>11.2835075046904</v>
      </c>
      <c r="BQ45" s="99">
        <v>11.3452711069418</v>
      </c>
      <c r="BR45" s="99">
        <v>11.4070347091932</v>
      </c>
      <c r="BS45" s="99">
        <v>11.468798311444701</v>
      </c>
      <c r="BT45" s="99">
        <v>11.530561913696101</v>
      </c>
      <c r="BU45" s="99">
        <v>11.5923255159475</v>
      </c>
      <c r="BV45" s="99">
        <v>11.6540891181989</v>
      </c>
      <c r="BW45" s="99">
        <v>11.7158527204503</v>
      </c>
      <c r="BX45" s="99">
        <v>11.7776163227017</v>
      </c>
      <c r="BY45" s="99">
        <v>11.8393799249531</v>
      </c>
      <c r="BZ45" s="99">
        <v>11.9011435272045</v>
      </c>
      <c r="CA45" s="99">
        <v>11.9629071294559</v>
      </c>
      <c r="CB45" s="99">
        <v>12.0246707317073</v>
      </c>
      <c r="CC45" s="99">
        <v>12.086434333958699</v>
      </c>
      <c r="CD45" s="99">
        <v>12.148197936210099</v>
      </c>
      <c r="CE45" s="99">
        <v>12.209961538461499</v>
      </c>
      <c r="CF45" s="99">
        <v>12.271725140712901</v>
      </c>
      <c r="CG45" s="99">
        <v>12.3334887429644</v>
      </c>
      <c r="CH45" s="99">
        <v>12.3952523452158</v>
      </c>
      <c r="CI45" s="99">
        <v>12.4570159474672</v>
      </c>
      <c r="CJ45" s="99">
        <v>12.5187795497186</v>
      </c>
      <c r="CK45" s="99">
        <v>12.58054315197</v>
      </c>
      <c r="CL45" s="99">
        <v>12.6423067542214</v>
      </c>
      <c r="CM45" s="99">
        <v>12.704070356472799</v>
      </c>
      <c r="CN45" s="99">
        <v>12.765833958724199</v>
      </c>
      <c r="CO45" s="99">
        <v>12.827597560975599</v>
      </c>
      <c r="CP45" s="99">
        <v>12.889361163227001</v>
      </c>
      <c r="CQ45" s="99">
        <v>12.951124765478401</v>
      </c>
      <c r="CR45" s="99">
        <v>13.012888367729801</v>
      </c>
      <c r="CS45" s="99">
        <v>13.0746519699812</v>
      </c>
      <c r="CT45" s="99">
        <v>13.1364155722326</v>
      </c>
      <c r="CU45" s="99">
        <v>13.1981791744841</v>
      </c>
      <c r="CV45" s="99">
        <v>13.2599427767355</v>
      </c>
      <c r="CW45" s="99">
        <v>13.321706378986899</v>
      </c>
      <c r="CX45" s="99">
        <v>13.383469981238299</v>
      </c>
      <c r="CY45" s="99">
        <v>13.445233583489699</v>
      </c>
      <c r="CZ45" s="99">
        <v>13.506997185741101</v>
      </c>
      <c r="DA45" s="99">
        <v>13.568760787992501</v>
      </c>
      <c r="DB45" s="99">
        <v>13.630524390243901</v>
      </c>
      <c r="DC45" s="99">
        <v>13.6922879924953</v>
      </c>
      <c r="DD45" s="99">
        <v>13.7540515947467</v>
      </c>
      <c r="DE45" s="99">
        <v>13.8158151969981</v>
      </c>
      <c r="DF45" s="99">
        <v>13.8775787992495</v>
      </c>
      <c r="DG45" s="99">
        <v>13.9393424015009</v>
      </c>
      <c r="DH45" s="99">
        <v>14.0011060037523</v>
      </c>
      <c r="DI45" s="99">
        <v>14.062869606003799</v>
      </c>
      <c r="DJ45" s="99">
        <v>14.124633208255201</v>
      </c>
      <c r="DK45" s="99">
        <v>14.186396810506601</v>
      </c>
      <c r="DL45" s="99">
        <v>14.248160412758001</v>
      </c>
      <c r="DM45" s="99">
        <v>14.3099240150094</v>
      </c>
      <c r="DN45" s="99">
        <v>14.3716876172608</v>
      </c>
      <c r="DO45" s="99">
        <v>14.4334512195122</v>
      </c>
      <c r="DP45" s="99">
        <v>14.4952148217636</v>
      </c>
      <c r="DQ45" s="99">
        <v>14.556978424015</v>
      </c>
      <c r="DR45" s="99">
        <v>14.6187420262664</v>
      </c>
      <c r="DS45" s="99">
        <v>14.6805056285178</v>
      </c>
      <c r="DT45" s="99">
        <v>14.7422692307692</v>
      </c>
      <c r="DU45" s="99">
        <v>14.804032833020599</v>
      </c>
      <c r="DV45" s="99">
        <v>14.865796435271999</v>
      </c>
      <c r="DW45" s="99">
        <v>14.9275600375235</v>
      </c>
      <c r="DX45" s="99">
        <v>14.9893236397749</v>
      </c>
      <c r="DY45" s="99">
        <v>15.0510872420263</v>
      </c>
      <c r="DZ45" s="99">
        <v>15.1128508442777</v>
      </c>
      <c r="EA45" s="99">
        <v>15.1746144465291</v>
      </c>
      <c r="EB45" s="99">
        <v>15.2363780487805</v>
      </c>
      <c r="EC45" s="99">
        <v>15.2981416510319</v>
      </c>
      <c r="ED45" s="99">
        <v>15.3599052532833</v>
      </c>
      <c r="EE45" s="99">
        <v>15.421668855534699</v>
      </c>
      <c r="EF45" s="99">
        <v>15.483432457786099</v>
      </c>
      <c r="EG45" s="99">
        <v>15.545196060037499</v>
      </c>
      <c r="EH45" s="99">
        <v>15.606959662288901</v>
      </c>
      <c r="EI45" s="99">
        <v>15.668723264540301</v>
      </c>
      <c r="EJ45" s="99">
        <v>15.730486866791701</v>
      </c>
      <c r="EK45" s="99">
        <v>15.7922504690432</v>
      </c>
      <c r="EL45" s="99">
        <v>15.8540140712946</v>
      </c>
      <c r="EM45" s="99">
        <v>15.915777673546</v>
      </c>
      <c r="EN45" s="99">
        <v>15.9775412757974</v>
      </c>
      <c r="EO45" s="99">
        <v>16.039304878048799</v>
      </c>
      <c r="EP45" s="99">
        <v>16.101068480300199</v>
      </c>
      <c r="EQ45" s="99">
        <v>16.162832082551599</v>
      </c>
      <c r="ER45" s="99">
        <v>16.224595684802999</v>
      </c>
      <c r="ES45" s="99">
        <v>16.286359287054399</v>
      </c>
      <c r="ET45" s="99">
        <v>16.348122889305799</v>
      </c>
      <c r="EU45" s="99">
        <v>16.409886491557199</v>
      </c>
      <c r="EV45" s="99">
        <v>16.471650093808599</v>
      </c>
      <c r="EW45" s="99">
        <v>16.533413696059998</v>
      </c>
      <c r="EX45" s="99">
        <v>16.595177298311398</v>
      </c>
      <c r="EY45" s="99">
        <v>16.656940900562901</v>
      </c>
      <c r="EZ45" s="99">
        <v>16.718704502814301</v>
      </c>
      <c r="FA45" s="99">
        <v>16.780468105065701</v>
      </c>
      <c r="FB45" s="99">
        <v>16.842231707317101</v>
      </c>
      <c r="FC45" s="99">
        <v>16.903995309568501</v>
      </c>
      <c r="FD45" s="99">
        <v>16.965758911819901</v>
      </c>
      <c r="FE45" s="99">
        <v>17.0275225140713</v>
      </c>
      <c r="FF45" s="99">
        <v>17.0892861163227</v>
      </c>
      <c r="FG45" s="99">
        <v>17.1510497185741</v>
      </c>
      <c r="FH45" s="99">
        <v>17.2128133208256</v>
      </c>
      <c r="FI45" s="99">
        <v>17.274576923076999</v>
      </c>
      <c r="FJ45" s="99">
        <v>17.336340525328399</v>
      </c>
      <c r="FK45" s="99">
        <v>17.398104127579799</v>
      </c>
      <c r="FL45" s="99">
        <v>17.459867729831199</v>
      </c>
      <c r="FM45" s="99">
        <v>17.521631332082599</v>
      </c>
      <c r="FN45" s="99">
        <v>17.583394934333999</v>
      </c>
      <c r="FO45" s="99">
        <v>17.645158536585399</v>
      </c>
      <c r="FP45" s="99">
        <v>17.706922138836799</v>
      </c>
      <c r="FQ45" s="99">
        <v>17.768685741088198</v>
      </c>
      <c r="FR45" s="99">
        <v>17.830449343339598</v>
      </c>
      <c r="FS45" s="99">
        <v>17.892212945591002</v>
      </c>
      <c r="FT45" s="99">
        <v>17.953976547842402</v>
      </c>
      <c r="FU45" s="99">
        <v>18.015740150093801</v>
      </c>
      <c r="FV45" s="99">
        <v>18.077503752345301</v>
      </c>
      <c r="FW45" s="99">
        <v>18.139267354596701</v>
      </c>
      <c r="FX45" s="99">
        <v>18.201030956848101</v>
      </c>
      <c r="FY45" s="99">
        <v>18.2627945590995</v>
      </c>
      <c r="FZ45" s="99">
        <v>18.3245581613509</v>
      </c>
      <c r="GA45" s="99">
        <v>18.3863217636023</v>
      </c>
      <c r="GB45" s="99">
        <v>18.4480853658537</v>
      </c>
      <c r="GC45" s="99">
        <v>18.5098489681051</v>
      </c>
      <c r="GD45" s="99">
        <v>18.5716125703565</v>
      </c>
      <c r="GE45" s="99">
        <v>18.6333761726079</v>
      </c>
      <c r="GF45" s="99">
        <v>18.6951397748593</v>
      </c>
      <c r="GG45" s="99">
        <v>18.756903377110699</v>
      </c>
      <c r="GH45" s="99">
        <v>18.818666979362099</v>
      </c>
      <c r="GI45" s="99">
        <v>18.880430581613499</v>
      </c>
      <c r="GJ45" s="99">
        <v>18.942194183864999</v>
      </c>
      <c r="GK45" s="99">
        <v>19.003957786116398</v>
      </c>
      <c r="GL45" s="99">
        <v>19.065721388367798</v>
      </c>
      <c r="GM45" s="99">
        <v>19.127484990619202</v>
      </c>
      <c r="GN45" s="99">
        <v>19.189248592870602</v>
      </c>
      <c r="GO45" s="99">
        <v>19.251012195122001</v>
      </c>
      <c r="GP45" s="99">
        <v>19.312775797373401</v>
      </c>
      <c r="GQ45" s="99">
        <v>19.374539399624801</v>
      </c>
      <c r="GR45" s="99">
        <v>19.436303001876201</v>
      </c>
      <c r="GS45" s="99">
        <v>19.498066604127601</v>
      </c>
      <c r="GT45" s="99">
        <v>19.559830206379001</v>
      </c>
      <c r="GU45" s="99">
        <v>19.621593808630401</v>
      </c>
      <c r="GV45" s="99">
        <v>19.683357410881801</v>
      </c>
      <c r="GW45" s="99">
        <v>19.7451210131332</v>
      </c>
      <c r="GX45" s="99">
        <v>19.8068846153847</v>
      </c>
      <c r="GY45" s="99">
        <v>19.8686482176361</v>
      </c>
      <c r="GZ45" s="99">
        <v>19.9304118198875</v>
      </c>
      <c r="HA45" s="99">
        <v>19.992175422138899</v>
      </c>
      <c r="HB45" s="99">
        <v>20.053939024390299</v>
      </c>
      <c r="HC45" s="99">
        <v>20.115702626641699</v>
      </c>
      <c r="HD45" s="99">
        <v>20.177466228893099</v>
      </c>
      <c r="HE45" s="99">
        <v>20.239229831144499</v>
      </c>
      <c r="HF45" s="99">
        <v>20.300993433395899</v>
      </c>
      <c r="HG45" s="99">
        <v>20.362757035647299</v>
      </c>
      <c r="HH45" s="99">
        <v>20.424520637898699</v>
      </c>
      <c r="HI45" s="99">
        <v>20.486284240150098</v>
      </c>
      <c r="HJ45" s="99">
        <v>20.548047842401498</v>
      </c>
      <c r="HK45" s="99">
        <v>20.609811444652902</v>
      </c>
      <c r="HL45" s="99">
        <v>20.671575046904401</v>
      </c>
      <c r="HM45" s="99">
        <v>20.733338649155801</v>
      </c>
      <c r="HN45" s="99">
        <v>20.795102251407201</v>
      </c>
      <c r="HO45" s="99">
        <v>20.856865853658601</v>
      </c>
      <c r="HP45" s="99">
        <v>20.918629455910001</v>
      </c>
      <c r="HQ45" s="99">
        <v>20.9803930581614</v>
      </c>
      <c r="HR45" s="99">
        <v>21.0421566604128</v>
      </c>
      <c r="HS45" s="99">
        <v>21.1039202626642</v>
      </c>
      <c r="HT45" s="99">
        <v>21.1656838649156</v>
      </c>
      <c r="HU45" s="99">
        <v>21.227447467167</v>
      </c>
      <c r="HV45" s="99">
        <v>21.2892110694184</v>
      </c>
      <c r="HW45" s="99">
        <v>21.3509746716698</v>
      </c>
      <c r="HX45" s="99">
        <v>21.4127382739212</v>
      </c>
      <c r="HY45" s="99">
        <v>21.474501876172599</v>
      </c>
      <c r="HZ45" s="99">
        <v>21.536265478424099</v>
      </c>
      <c r="IA45" s="99">
        <v>21.598029080675499</v>
      </c>
      <c r="IB45" s="99">
        <v>21.659792682926899</v>
      </c>
      <c r="IC45" s="99">
        <v>21.721556285178298</v>
      </c>
      <c r="ID45" s="99">
        <v>21.783319887429698</v>
      </c>
      <c r="IE45" s="99">
        <v>21.845083489681102</v>
      </c>
      <c r="IF45" s="99">
        <v>21.906847091932502</v>
      </c>
      <c r="IG45" s="99">
        <v>21.968610694183901</v>
      </c>
      <c r="IH45" s="99">
        <v>22.030374296435301</v>
      </c>
      <c r="II45" s="99">
        <v>22.092137898686701</v>
      </c>
      <c r="IJ45" s="99">
        <v>22.153901500938101</v>
      </c>
      <c r="IK45" s="99">
        <v>22.215665103189501</v>
      </c>
      <c r="IL45" s="99">
        <v>22.277428705440901</v>
      </c>
      <c r="IM45" s="99">
        <v>22.339192307692301</v>
      </c>
      <c r="IN45" s="99">
        <v>22.4009559099438</v>
      </c>
      <c r="IO45" s="99">
        <v>22.4627195121952</v>
      </c>
      <c r="IP45" s="99">
        <v>22.5244831144466</v>
      </c>
      <c r="IQ45" s="99">
        <v>22.586246716698</v>
      </c>
      <c r="IR45" s="99">
        <v>22.6480103189494</v>
      </c>
      <c r="IS45" s="99">
        <v>22.709773921200799</v>
      </c>
      <c r="IT45" s="99">
        <v>22.771537523452199</v>
      </c>
      <c r="IU45" s="99">
        <v>22.833301125703599</v>
      </c>
      <c r="IV45" s="99">
        <v>22.895064727954999</v>
      </c>
      <c r="IW45" s="99">
        <v>22.956828330206399</v>
      </c>
      <c r="IX45" s="99">
        <v>23.018591932457799</v>
      </c>
      <c r="IY45" s="99">
        <v>23.080355534709199</v>
      </c>
      <c r="IZ45" s="99">
        <v>23.142119136960599</v>
      </c>
      <c r="JA45" s="99">
        <v>23.203882739211998</v>
      </c>
      <c r="JB45" s="99">
        <v>23.265646341463501</v>
      </c>
      <c r="JC45" s="99">
        <v>23.327409943714901</v>
      </c>
      <c r="JD45" s="99">
        <v>23.389173545966301</v>
      </c>
      <c r="JE45" s="99">
        <v>23.450937148217701</v>
      </c>
      <c r="JF45" s="99">
        <v>23.512700750469101</v>
      </c>
      <c r="JG45" s="99">
        <v>23.574464352720501</v>
      </c>
      <c r="JH45" s="99">
        <v>23.636227954971901</v>
      </c>
      <c r="JI45" s="99">
        <v>23.6979915572233</v>
      </c>
      <c r="JJ45" s="99">
        <v>23.7597551594747</v>
      </c>
      <c r="JK45" s="99">
        <v>23.8215187617261</v>
      </c>
      <c r="JL45" s="99">
        <v>23.8832823639775</v>
      </c>
      <c r="JM45" s="99">
        <v>23.9450459662289</v>
      </c>
      <c r="JN45" s="99">
        <v>24.0068095684803</v>
      </c>
      <c r="JO45" s="99">
        <v>24.0685731707317</v>
      </c>
      <c r="JP45" s="99">
        <v>24.130336772983199</v>
      </c>
      <c r="JQ45" s="99">
        <v>24.192100375234599</v>
      </c>
      <c r="JR45" s="99">
        <v>24.253863977485999</v>
      </c>
      <c r="JS45" s="99">
        <v>24.315627579737399</v>
      </c>
      <c r="JT45" s="99">
        <v>24.377391181988799</v>
      </c>
      <c r="JU45" s="99">
        <v>24.439154784240198</v>
      </c>
      <c r="JV45" s="99">
        <v>24.500918386491598</v>
      </c>
      <c r="JW45" s="99">
        <v>24.562681988743002</v>
      </c>
      <c r="JX45" s="99">
        <v>24.624445590994402</v>
      </c>
      <c r="JY45" s="99">
        <v>24.686209193245801</v>
      </c>
      <c r="JZ45" s="99">
        <v>24.747972795497201</v>
      </c>
      <c r="KA45" s="99">
        <v>24.809736397748601</v>
      </c>
      <c r="KB45" s="99">
        <v>24.871500000000001</v>
      </c>
      <c r="KC45" s="99">
        <v>24.933263602251401</v>
      </c>
      <c r="KD45" s="99">
        <v>24.9950272045029</v>
      </c>
      <c r="KE45" s="99">
        <v>25.0567908067543</v>
      </c>
      <c r="KF45" s="99">
        <v>25.1185544090057</v>
      </c>
      <c r="KG45" s="99">
        <v>25.1803180112571</v>
      </c>
      <c r="KH45" s="99">
        <v>25.2420816135085</v>
      </c>
      <c r="KI45" s="99">
        <v>25.3038452157599</v>
      </c>
      <c r="KJ45" s="99">
        <v>25.3656088180113</v>
      </c>
      <c r="KK45" s="99">
        <v>25.427372420262699</v>
      </c>
      <c r="KL45" s="99">
        <v>25.489136022514099</v>
      </c>
      <c r="KM45" s="99">
        <v>25.550899624765499</v>
      </c>
      <c r="KN45" s="99">
        <v>25.612663227016899</v>
      </c>
      <c r="KO45" s="99">
        <v>25.674426829268299</v>
      </c>
      <c r="KP45" s="99">
        <v>25.736190431519699</v>
      </c>
      <c r="KQ45" s="99">
        <v>25.797954033771099</v>
      </c>
      <c r="KR45" s="99">
        <v>25.859717636022602</v>
      </c>
      <c r="KS45" s="99">
        <v>25.921481238274001</v>
      </c>
      <c r="KT45" s="99">
        <v>25.983244840525401</v>
      </c>
      <c r="KU45" s="99">
        <v>26.045008442776801</v>
      </c>
      <c r="KV45" s="99">
        <v>26.106772045028201</v>
      </c>
      <c r="KW45" s="99">
        <v>26.168535647279601</v>
      </c>
      <c r="KX45" s="99">
        <v>26.230299249531001</v>
      </c>
      <c r="KY45" s="99">
        <v>26.292062851782401</v>
      </c>
      <c r="KZ45" s="99">
        <v>26.353826454033801</v>
      </c>
      <c r="LA45" s="99">
        <v>26.4155900562852</v>
      </c>
      <c r="LB45" s="99">
        <v>26.4773536585366</v>
      </c>
      <c r="LC45" s="99">
        <v>26.539117260788</v>
      </c>
      <c r="LD45" s="99">
        <v>26.6008808630394</v>
      </c>
      <c r="LE45" s="99">
        <v>26.6626444652908</v>
      </c>
      <c r="LF45" s="99">
        <v>26.724408067542299</v>
      </c>
      <c r="LG45" s="99">
        <v>26.786171669793699</v>
      </c>
      <c r="LH45" s="99">
        <v>26.847935272045099</v>
      </c>
      <c r="LI45" s="99">
        <v>26.909698874296499</v>
      </c>
      <c r="LJ45" s="99">
        <v>26.971462476547899</v>
      </c>
      <c r="LK45" s="99">
        <v>27.033226078799299</v>
      </c>
      <c r="LL45" s="99">
        <v>27.094989681050698</v>
      </c>
      <c r="LM45" s="99">
        <v>27.156753283302098</v>
      </c>
      <c r="LN45" s="99">
        <v>27.218516885553498</v>
      </c>
      <c r="LO45" s="99">
        <v>27.280280487804902</v>
      </c>
      <c r="LP45" s="99">
        <v>27.342044090056302</v>
      </c>
      <c r="LQ45" s="99">
        <v>27.403807692307701</v>
      </c>
      <c r="LR45" s="99">
        <v>27.465571294559101</v>
      </c>
      <c r="LS45" s="99">
        <v>27.527334896810501</v>
      </c>
      <c r="LT45" s="99">
        <v>27.589098499062001</v>
      </c>
      <c r="LU45" s="99">
        <v>27.6508621013134</v>
      </c>
      <c r="LV45" s="99">
        <v>27.7126257035648</v>
      </c>
      <c r="LW45" s="99">
        <v>27.7743893058162</v>
      </c>
      <c r="LX45" s="99">
        <v>27.8361529080676</v>
      </c>
      <c r="LY45" s="99">
        <v>27.897916510319</v>
      </c>
      <c r="LZ45" s="99">
        <v>27.9596801125704</v>
      </c>
      <c r="MA45" s="99">
        <v>28.0214437148218</v>
      </c>
      <c r="MB45" s="99">
        <v>28.0832073170732</v>
      </c>
      <c r="MC45" s="99">
        <v>28.144970919324599</v>
      </c>
      <c r="MD45" s="99">
        <v>28.206734521575999</v>
      </c>
      <c r="ME45" s="99">
        <v>28.268498123827399</v>
      </c>
      <c r="MF45" s="99">
        <v>28.330261726078799</v>
      </c>
      <c r="MG45" s="99">
        <v>28.392025328330199</v>
      </c>
      <c r="MH45" s="99">
        <v>28.453788930581698</v>
      </c>
      <c r="MI45" s="99">
        <v>28.515552532833102</v>
      </c>
      <c r="MJ45" s="99">
        <v>28.577316135084502</v>
      </c>
      <c r="MK45" s="99">
        <v>28.639079737335901</v>
      </c>
      <c r="ML45" s="99">
        <v>28.700843339587301</v>
      </c>
      <c r="MM45" s="99">
        <v>28.762606941838701</v>
      </c>
      <c r="MN45" s="99">
        <v>28.824370544090101</v>
      </c>
      <c r="MO45" s="99">
        <v>28.886134146341501</v>
      </c>
      <c r="MP45" s="99">
        <v>28.947897748592901</v>
      </c>
      <c r="MQ45" s="99">
        <v>29.009661350844301</v>
      </c>
      <c r="MR45" s="99">
        <v>29.071424953095701</v>
      </c>
      <c r="MS45" s="99">
        <v>29.1331885553471</v>
      </c>
      <c r="MT45" s="99">
        <v>29.1949521575985</v>
      </c>
      <c r="MU45" s="99">
        <v>29.2567157598499</v>
      </c>
      <c r="MV45" s="99">
        <v>29.318479362101399</v>
      </c>
      <c r="MW45" s="99">
        <v>29.380242964352799</v>
      </c>
      <c r="MX45" s="99">
        <v>29.442006566604199</v>
      </c>
      <c r="MY45" s="99">
        <v>29.503770168855599</v>
      </c>
      <c r="MZ45" s="99">
        <v>29.565533771106999</v>
      </c>
      <c r="NA45" s="99">
        <v>29.627297373358399</v>
      </c>
      <c r="NB45" s="99">
        <v>29.689060975609799</v>
      </c>
      <c r="NC45" s="99">
        <v>29.750824577861199</v>
      </c>
      <c r="ND45" s="99">
        <v>29.812588180112598</v>
      </c>
      <c r="NE45" s="99">
        <v>29.874351782363998</v>
      </c>
      <c r="NF45" s="99">
        <v>29.936115384615398</v>
      </c>
      <c r="NG45" s="99">
        <v>29.997878986866802</v>
      </c>
      <c r="NH45" s="99">
        <v>30.059642589118202</v>
      </c>
      <c r="NI45" s="99">
        <v>30.121406191369601</v>
      </c>
      <c r="NJ45" s="99">
        <v>30.183169793621001</v>
      </c>
      <c r="NK45" s="99">
        <v>30.244933395872501</v>
      </c>
      <c r="NL45" s="99">
        <v>30.3066969981239</v>
      </c>
      <c r="NM45" s="99">
        <v>30.3684606003753</v>
      </c>
      <c r="NN45" s="99">
        <v>30.4302242026267</v>
      </c>
      <c r="NO45" s="99">
        <v>30.4919878048781</v>
      </c>
      <c r="NP45" s="99">
        <v>30.5537514071295</v>
      </c>
      <c r="NQ45" s="99">
        <v>30.6155150093809</v>
      </c>
      <c r="NR45" s="99">
        <v>30.6772786116323</v>
      </c>
      <c r="NS45" s="99">
        <v>30.7390422138837</v>
      </c>
      <c r="NT45" s="99">
        <v>30.800805816135099</v>
      </c>
      <c r="NU45" s="99">
        <v>30.862569418386499</v>
      </c>
      <c r="NV45" s="99">
        <v>30.924333020637899</v>
      </c>
      <c r="NW45" s="99">
        <v>30.986096622889299</v>
      </c>
      <c r="NX45" s="99">
        <v>31.047860225140798</v>
      </c>
      <c r="NY45" s="99">
        <v>31.109623827392198</v>
      </c>
      <c r="NZ45" s="99">
        <v>31.171387429643602</v>
      </c>
      <c r="OA45" s="99">
        <v>31.233151031895002</v>
      </c>
      <c r="OB45" s="99">
        <v>31.294914634146402</v>
      </c>
      <c r="OC45" s="99">
        <v>31.356678236397801</v>
      </c>
      <c r="OD45" s="99">
        <v>31.418441838649201</v>
      </c>
      <c r="OE45" s="99">
        <v>31.480205440900601</v>
      </c>
      <c r="OF45" s="99">
        <v>31.541969043152001</v>
      </c>
      <c r="OG45" s="99">
        <v>31.603732645403401</v>
      </c>
      <c r="OH45" s="99">
        <v>31.665496247654801</v>
      </c>
      <c r="OI45" s="99">
        <v>31.727259849906201</v>
      </c>
      <c r="OJ45" s="99">
        <v>31.789023452157601</v>
      </c>
      <c r="OK45" s="99">
        <v>31.850787054409</v>
      </c>
      <c r="OL45" s="99">
        <v>31.9125506566604</v>
      </c>
      <c r="OM45" s="99">
        <v>31.9743142589119</v>
      </c>
      <c r="ON45" s="99">
        <v>32.036077861163299</v>
      </c>
      <c r="OO45" s="99">
        <v>32.097841463414703</v>
      </c>
      <c r="OP45" s="99">
        <v>32.159605065666099</v>
      </c>
      <c r="OQ45" s="99">
        <v>32.221368667917503</v>
      </c>
      <c r="OR45" s="99">
        <v>32.283132270168899</v>
      </c>
      <c r="OS45" s="99">
        <v>32.344895872420302</v>
      </c>
      <c r="OT45" s="99">
        <v>32.406659474671699</v>
      </c>
      <c r="OU45" s="99">
        <v>32.468423076923102</v>
      </c>
      <c r="OV45" s="99">
        <v>32.530186679174498</v>
      </c>
      <c r="OW45" s="99">
        <v>32.591950281425902</v>
      </c>
      <c r="OX45" s="99">
        <v>32.653713883677298</v>
      </c>
      <c r="OY45" s="99">
        <v>32.715477485928702</v>
      </c>
      <c r="OZ45" s="99">
        <v>32.777241088180098</v>
      </c>
      <c r="PA45" s="99">
        <v>32.839004690431601</v>
      </c>
      <c r="PB45" s="99">
        <v>32.900768292682997</v>
      </c>
      <c r="PC45" s="99">
        <v>32.962531894934401</v>
      </c>
      <c r="PD45" s="99">
        <v>33.024295497185797</v>
      </c>
      <c r="PE45" s="99">
        <v>33.0860590994372</v>
      </c>
      <c r="PF45" s="99">
        <v>33.147822701688597</v>
      </c>
      <c r="PG45" s="99">
        <v>33.20958630394</v>
      </c>
      <c r="PH45" s="99">
        <v>33.271349906191404</v>
      </c>
      <c r="PI45" s="99">
        <v>33.3331135084428</v>
      </c>
      <c r="PJ45" s="99">
        <v>33.394877110694203</v>
      </c>
      <c r="PK45" s="99">
        <v>33.4566407129456</v>
      </c>
      <c r="PL45" s="99">
        <v>33.518404315197003</v>
      </c>
      <c r="PM45" s="99">
        <v>33.580167917448399</v>
      </c>
      <c r="PN45" s="99">
        <v>33.641931519699902</v>
      </c>
      <c r="PO45" s="99">
        <v>33.703695121951299</v>
      </c>
      <c r="PP45" s="99">
        <v>33.765458724202702</v>
      </c>
      <c r="PQ45" s="99">
        <v>33.827222326454098</v>
      </c>
      <c r="PR45" s="99">
        <v>33.888985928705502</v>
      </c>
      <c r="PS45" s="99">
        <v>33.950749530956898</v>
      </c>
      <c r="PT45" s="99">
        <v>34.012513133208301</v>
      </c>
      <c r="PU45" s="99">
        <v>34.074276735459698</v>
      </c>
      <c r="PV45" s="99">
        <v>34.136040337711101</v>
      </c>
      <c r="PW45" s="99">
        <v>34.197803939962498</v>
      </c>
      <c r="PX45" s="99">
        <v>34.259567542213901</v>
      </c>
      <c r="PY45" s="99">
        <v>34.321331144465297</v>
      </c>
      <c r="PZ45" s="99">
        <v>34.383094746716701</v>
      </c>
      <c r="QA45" s="99">
        <v>34.444858348968097</v>
      </c>
      <c r="QB45" s="99">
        <v>34.5066219512195</v>
      </c>
      <c r="QC45" s="99">
        <v>34.568385553471003</v>
      </c>
      <c r="QD45" s="99">
        <v>34.6301491557224</v>
      </c>
      <c r="QE45" s="99">
        <v>34.691912757973803</v>
      </c>
      <c r="QF45" s="99">
        <v>34.753676360225199</v>
      </c>
      <c r="QG45" s="99">
        <v>34.815439962476603</v>
      </c>
      <c r="QH45" s="99">
        <v>34.877203564727999</v>
      </c>
      <c r="QI45" s="99">
        <v>34.938967166979403</v>
      </c>
      <c r="QJ45" s="99">
        <v>35.000730769230799</v>
      </c>
      <c r="QK45" s="99">
        <v>35.062494371482202</v>
      </c>
      <c r="QL45" s="99">
        <v>35.124257973733599</v>
      </c>
      <c r="QM45" s="99">
        <v>35.186021575985002</v>
      </c>
      <c r="QN45" s="99">
        <v>35.247785178236398</v>
      </c>
      <c r="QO45" s="99">
        <v>35.309548780487802</v>
      </c>
      <c r="QP45" s="99">
        <v>35.371312382739298</v>
      </c>
      <c r="QQ45" s="99">
        <v>35.433075984990701</v>
      </c>
      <c r="QR45" s="99">
        <v>35.494839587242097</v>
      </c>
      <c r="QS45" s="99">
        <v>35.556603189493501</v>
      </c>
      <c r="QT45" s="99">
        <v>35.618366791744897</v>
      </c>
      <c r="QU45" s="99">
        <v>35.680130393996301</v>
      </c>
      <c r="QV45" s="99">
        <v>35.741893996247697</v>
      </c>
      <c r="QW45" s="99">
        <v>35.8036575984991</v>
      </c>
      <c r="QX45" s="99">
        <v>35.865421200750497</v>
      </c>
      <c r="QY45" s="99">
        <v>35.9271848030019</v>
      </c>
      <c r="QZ45" s="99">
        <v>35.988948405253304</v>
      </c>
      <c r="RA45" s="99">
        <v>36.0507120075047</v>
      </c>
      <c r="RB45" s="99">
        <v>36.112475609756103</v>
      </c>
      <c r="RC45" s="99">
        <v>36.1742392120075</v>
      </c>
      <c r="RD45" s="99">
        <v>36.236002814258903</v>
      </c>
      <c r="RE45" s="99">
        <v>36.297766416510399</v>
      </c>
      <c r="RF45" s="99">
        <v>36.359530018761802</v>
      </c>
      <c r="RG45" s="99">
        <v>36.421293621013199</v>
      </c>
      <c r="RH45" s="99">
        <v>36.483057223264602</v>
      </c>
      <c r="RI45" s="99">
        <v>36.544820825515998</v>
      </c>
      <c r="RJ45" s="99">
        <v>36.606584427767402</v>
      </c>
      <c r="RK45" s="99">
        <v>36.668348030018798</v>
      </c>
      <c r="RL45" s="99">
        <v>36.730111632270201</v>
      </c>
      <c r="RM45" s="99">
        <v>36.791875234521598</v>
      </c>
      <c r="RN45" s="99">
        <v>36.853638836773001</v>
      </c>
      <c r="RO45" s="99">
        <v>36.915402439024398</v>
      </c>
      <c r="RP45" s="99">
        <v>36.977166041275801</v>
      </c>
      <c r="RQ45" s="99">
        <v>37.038929643527197</v>
      </c>
      <c r="RR45" s="99">
        <v>37.100693245778601</v>
      </c>
      <c r="RS45" s="99">
        <v>37.162456848030097</v>
      </c>
      <c r="RT45" s="99">
        <v>37.2242204502815</v>
      </c>
      <c r="RU45" s="99">
        <v>37.285984052532903</v>
      </c>
      <c r="RV45" s="99">
        <v>37.3477476547843</v>
      </c>
      <c r="RW45" s="99">
        <v>37.409511257035703</v>
      </c>
      <c r="RX45" s="99">
        <v>37.471274859287099</v>
      </c>
      <c r="RY45" s="99">
        <v>37.533038461538503</v>
      </c>
      <c r="RZ45" s="99">
        <v>37.594802063789899</v>
      </c>
      <c r="SA45" s="99">
        <v>37.656565666041303</v>
      </c>
      <c r="SB45" s="99">
        <v>37.718329268292699</v>
      </c>
      <c r="SC45" s="99">
        <v>37.780092870544102</v>
      </c>
      <c r="SD45" s="99">
        <v>37.841856472795499</v>
      </c>
      <c r="SE45" s="99">
        <v>37.903620075046902</v>
      </c>
      <c r="SF45" s="99">
        <v>37.965383677298298</v>
      </c>
      <c r="SG45" s="99">
        <v>38.027147279549801</v>
      </c>
      <c r="SH45" s="99">
        <v>38.088910881801198</v>
      </c>
      <c r="SI45" s="99">
        <v>38.150674484052601</v>
      </c>
      <c r="SJ45" s="99">
        <v>38.212438086303997</v>
      </c>
      <c r="SK45" s="99">
        <v>38.274201688555401</v>
      </c>
      <c r="SL45" s="99">
        <v>38.335965290806797</v>
      </c>
      <c r="SM45" s="99">
        <v>38.397728893058201</v>
      </c>
      <c r="SN45" s="99">
        <v>38.459492495309597</v>
      </c>
      <c r="SO45" s="99">
        <v>38.521256097561</v>
      </c>
      <c r="SP45" s="99">
        <v>38.583019699812397</v>
      </c>
      <c r="SQ45" s="99">
        <v>38.6447833020638</v>
      </c>
      <c r="SR45" s="99">
        <v>38.706546904315204</v>
      </c>
      <c r="SS45" s="99">
        <v>38.7683105065666</v>
      </c>
      <c r="ST45" s="99">
        <v>38.830074108818003</v>
      </c>
      <c r="SU45" s="99">
        <v>38.891837711069499</v>
      </c>
      <c r="SV45" s="99">
        <v>38.953601313320902</v>
      </c>
      <c r="SW45" s="99">
        <v>39.015364915572299</v>
      </c>
      <c r="SX45" s="99">
        <v>39.077128517823702</v>
      </c>
      <c r="SY45" s="99">
        <v>39.138892120075099</v>
      </c>
      <c r="SZ45" s="99">
        <v>39.200655722326502</v>
      </c>
      <c r="TA45" s="99">
        <v>39.262419324577898</v>
      </c>
      <c r="TB45" s="99">
        <v>39.324182926829302</v>
      </c>
      <c r="TC45" s="99">
        <v>39.385946529080698</v>
      </c>
      <c r="TD45" s="99">
        <v>39.447710131332101</v>
      </c>
      <c r="TE45" s="99">
        <v>39.509473733583498</v>
      </c>
      <c r="TF45" s="99">
        <v>39.571237335834901</v>
      </c>
      <c r="TG45" s="99">
        <v>39.633000938086298</v>
      </c>
      <c r="TH45" s="99">
        <v>39.694764540337701</v>
      </c>
      <c r="TI45" s="99">
        <v>39.756528142589197</v>
      </c>
      <c r="TJ45" s="99">
        <v>39.8182917448406</v>
      </c>
      <c r="TK45" s="99">
        <v>39.880055347091997</v>
      </c>
      <c r="TL45" s="99">
        <v>39.9418189493434</v>
      </c>
      <c r="TM45" s="99">
        <v>40.003582551594803</v>
      </c>
      <c r="TN45" s="99">
        <v>40.0653461538462</v>
      </c>
      <c r="TO45" s="99">
        <v>40.127109756097603</v>
      </c>
      <c r="TP45" s="99">
        <v>40.188873358348999</v>
      </c>
      <c r="TQ45" s="99">
        <v>40.250636960600403</v>
      </c>
      <c r="TR45" s="99">
        <v>40.312400562851799</v>
      </c>
      <c r="TS45" s="99">
        <v>40.374164165103203</v>
      </c>
      <c r="TT45" s="99">
        <v>40.435927767354599</v>
      </c>
      <c r="TU45" s="99">
        <v>40.497691369606002</v>
      </c>
      <c r="TV45" s="99">
        <v>40.559454971857399</v>
      </c>
      <c r="TW45" s="99">
        <v>40.621218574108902</v>
      </c>
      <c r="TX45" s="99">
        <v>40.682982176360298</v>
      </c>
      <c r="TY45" s="99">
        <v>40.744745778611701</v>
      </c>
      <c r="TZ45" s="99">
        <v>40.806509380863098</v>
      </c>
      <c r="UA45" s="99">
        <v>40.868272983114501</v>
      </c>
      <c r="UB45" s="99">
        <v>40.930036585365897</v>
      </c>
      <c r="UC45" s="99">
        <v>40.991800187617301</v>
      </c>
      <c r="UD45" s="99">
        <v>41.053563789868697</v>
      </c>
      <c r="UE45" s="99">
        <v>41.115327392120101</v>
      </c>
      <c r="UF45" s="99">
        <v>41.177090994371497</v>
      </c>
      <c r="UG45" s="99">
        <v>41.2388545966229</v>
      </c>
      <c r="UH45" s="99">
        <v>41.300618198874297</v>
      </c>
      <c r="UI45" s="99">
        <v>41.3623818011257</v>
      </c>
      <c r="UJ45" s="99">
        <v>41.424145403377103</v>
      </c>
      <c r="UK45" s="99">
        <v>41.485909005628599</v>
      </c>
      <c r="UL45" s="99">
        <v>41.547672607880003</v>
      </c>
      <c r="UM45" s="99">
        <v>41.609436210131399</v>
      </c>
      <c r="UN45" s="99">
        <v>41.671199812382802</v>
      </c>
      <c r="UO45" s="99">
        <v>41.732963414634199</v>
      </c>
      <c r="UP45" s="99">
        <v>41.794727016885602</v>
      </c>
      <c r="UQ45" s="99">
        <v>41.856490619136999</v>
      </c>
      <c r="UR45" s="99">
        <v>41.918254221388402</v>
      </c>
      <c r="US45" s="99">
        <v>41.980017823639898</v>
      </c>
      <c r="UT45" s="99">
        <v>42.041781425891301</v>
      </c>
    </row>
    <row r="46" spans="1:566" x14ac:dyDescent="0.2">
      <c r="A46" s="89">
        <v>20</v>
      </c>
      <c r="B46" s="90">
        <v>7.13</v>
      </c>
      <c r="C46" s="90">
        <v>7.2</v>
      </c>
      <c r="D46" s="90">
        <v>7.26</v>
      </c>
      <c r="E46" s="90">
        <v>7.32</v>
      </c>
      <c r="F46" s="90">
        <v>7.38</v>
      </c>
      <c r="G46" s="90">
        <v>7.44</v>
      </c>
      <c r="H46" s="90">
        <v>7.5</v>
      </c>
      <c r="I46" s="90">
        <v>7.56</v>
      </c>
      <c r="J46" s="90">
        <v>7.62</v>
      </c>
      <c r="K46" s="90">
        <v>7.68</v>
      </c>
      <c r="L46" s="90">
        <v>7.75</v>
      </c>
      <c r="M46" s="90">
        <v>7.81</v>
      </c>
      <c r="N46" s="90">
        <v>7.87</v>
      </c>
      <c r="O46" s="90">
        <v>7.93</v>
      </c>
      <c r="P46" s="90">
        <v>7.99</v>
      </c>
      <c r="Q46" s="90">
        <v>8.0500000000000007</v>
      </c>
      <c r="R46" s="90">
        <v>8.11</v>
      </c>
      <c r="S46" s="90">
        <v>8.17</v>
      </c>
      <c r="T46" s="90">
        <v>8.24</v>
      </c>
      <c r="U46" s="91">
        <v>8.3000000000000007</v>
      </c>
      <c r="V46" s="90">
        <v>8.36</v>
      </c>
      <c r="W46" s="90">
        <v>8.42</v>
      </c>
      <c r="X46" s="90">
        <v>8.48</v>
      </c>
      <c r="Y46" s="90">
        <v>8.5399999999999991</v>
      </c>
      <c r="Z46" s="90">
        <v>8.6</v>
      </c>
      <c r="AA46" s="90">
        <v>8.66</v>
      </c>
      <c r="AB46" s="90">
        <v>8.73</v>
      </c>
      <c r="AC46" s="90">
        <v>8.7899999999999991</v>
      </c>
      <c r="AD46" s="90">
        <v>8.85</v>
      </c>
      <c r="AE46" s="90">
        <v>8.91</v>
      </c>
      <c r="AF46" s="90">
        <v>8.9700000000000006</v>
      </c>
      <c r="AG46" s="90">
        <v>9.0299999999999994</v>
      </c>
      <c r="AH46" s="90">
        <v>9.09</v>
      </c>
      <c r="AI46" s="90">
        <v>9.15</v>
      </c>
      <c r="AJ46" s="90">
        <v>9.2100000000000009</v>
      </c>
      <c r="AK46" s="90">
        <v>9.2799999999999994</v>
      </c>
      <c r="AL46" s="90">
        <v>9.34</v>
      </c>
      <c r="AM46" s="90">
        <v>9.4</v>
      </c>
      <c r="AN46" s="90">
        <v>9.4600000000000009</v>
      </c>
      <c r="AO46" s="91">
        <v>9.52</v>
      </c>
      <c r="AP46" s="90">
        <v>9.5819999999999901</v>
      </c>
      <c r="AQ46" s="90">
        <v>9.6431951219512104</v>
      </c>
      <c r="AR46" s="90">
        <v>9.7043902439024308</v>
      </c>
      <c r="AS46" s="90">
        <v>9.7655853658536493</v>
      </c>
      <c r="AT46" s="90">
        <v>9.8267804878048697</v>
      </c>
      <c r="AU46" s="90">
        <v>9.88797560975609</v>
      </c>
      <c r="AV46" s="90">
        <v>9.9491707317073104</v>
      </c>
      <c r="AW46" s="90">
        <v>10.010365853658501</v>
      </c>
      <c r="AX46" s="90">
        <v>10.071560975609801</v>
      </c>
      <c r="AY46" s="90">
        <v>10.132756097561</v>
      </c>
      <c r="AZ46" s="90">
        <v>10.193951219512201</v>
      </c>
      <c r="BA46" s="90">
        <v>10.2551463414634</v>
      </c>
      <c r="BB46" s="90">
        <v>10.3163414634146</v>
      </c>
      <c r="BC46" s="90">
        <v>10.377536585365799</v>
      </c>
      <c r="BD46" s="90">
        <v>10.4387317073171</v>
      </c>
      <c r="BE46" s="90">
        <v>10.499926829268301</v>
      </c>
      <c r="BF46" s="90">
        <v>10.5611219512195</v>
      </c>
      <c r="BG46" s="90">
        <v>10.6223170731707</v>
      </c>
      <c r="BH46" s="90">
        <v>10.683512195121899</v>
      </c>
      <c r="BI46" s="91">
        <v>10.7447073170732</v>
      </c>
      <c r="BJ46" s="90">
        <v>10.805902439024401</v>
      </c>
      <c r="BK46" s="99">
        <v>10.8670975609756</v>
      </c>
      <c r="BL46" s="99">
        <v>10.9282926829268</v>
      </c>
      <c r="BM46" s="99">
        <v>10.989487804877999</v>
      </c>
      <c r="BN46" s="99">
        <v>11.0506829268293</v>
      </c>
      <c r="BO46" s="99">
        <v>11.1118780487805</v>
      </c>
      <c r="BP46" s="99">
        <v>11.173073170731699</v>
      </c>
      <c r="BQ46" s="99">
        <v>11.2342682926829</v>
      </c>
      <c r="BR46" s="99">
        <v>11.295463414634099</v>
      </c>
      <c r="BS46" s="99">
        <v>11.3566585365854</v>
      </c>
      <c r="BT46" s="99">
        <v>11.4178536585366</v>
      </c>
      <c r="BU46" s="99">
        <v>11.479048780487799</v>
      </c>
      <c r="BV46" s="99">
        <v>11.540243902439</v>
      </c>
      <c r="BW46" s="99">
        <v>11.601439024390199</v>
      </c>
      <c r="BX46" s="99">
        <v>11.6626341463415</v>
      </c>
      <c r="BY46" s="99">
        <v>11.7238292682927</v>
      </c>
      <c r="BZ46" s="99">
        <v>11.785024390243899</v>
      </c>
      <c r="CA46" s="99">
        <v>11.8462195121951</v>
      </c>
      <c r="CB46" s="99">
        <v>11.907414634146299</v>
      </c>
      <c r="CC46" s="99">
        <v>11.968609756097599</v>
      </c>
      <c r="CD46" s="99">
        <v>12.0298048780488</v>
      </c>
      <c r="CE46" s="99">
        <v>12.090999999999999</v>
      </c>
      <c r="CF46" s="99">
        <v>12.1521951219512</v>
      </c>
      <c r="CG46" s="99">
        <v>12.213390243902399</v>
      </c>
      <c r="CH46" s="99">
        <v>12.274585365853699</v>
      </c>
      <c r="CI46" s="99">
        <v>12.3357804878049</v>
      </c>
      <c r="CJ46" s="99">
        <v>12.396975609756099</v>
      </c>
      <c r="CK46" s="99">
        <v>12.4581707317073</v>
      </c>
      <c r="CL46" s="99">
        <v>12.519365853658501</v>
      </c>
      <c r="CM46" s="99">
        <v>12.580560975609799</v>
      </c>
      <c r="CN46" s="99">
        <v>12.641756097561</v>
      </c>
      <c r="CO46" s="99">
        <v>12.702951219512199</v>
      </c>
      <c r="CP46" s="99">
        <v>12.7641463414634</v>
      </c>
      <c r="CQ46" s="99">
        <v>12.825341463414601</v>
      </c>
      <c r="CR46" s="99">
        <v>12.886536585365899</v>
      </c>
      <c r="CS46" s="99">
        <v>12.9477317073171</v>
      </c>
      <c r="CT46" s="99">
        <v>13.008926829268299</v>
      </c>
      <c r="CU46" s="99">
        <v>13.0701219512195</v>
      </c>
      <c r="CV46" s="99">
        <v>13.131317073170701</v>
      </c>
      <c r="CW46" s="99">
        <v>13.1925121951219</v>
      </c>
      <c r="CX46" s="99">
        <v>13.2537073170732</v>
      </c>
      <c r="CY46" s="99">
        <v>13.314902439024401</v>
      </c>
      <c r="CZ46" s="99">
        <v>13.3760975609756</v>
      </c>
      <c r="DA46" s="99">
        <v>13.437292682926801</v>
      </c>
      <c r="DB46" s="99">
        <v>13.498487804878</v>
      </c>
      <c r="DC46" s="99">
        <v>13.5596829268293</v>
      </c>
      <c r="DD46" s="99">
        <v>13.620878048780501</v>
      </c>
      <c r="DE46" s="99">
        <v>13.6820731707317</v>
      </c>
      <c r="DF46" s="99">
        <v>13.743268292682901</v>
      </c>
      <c r="DG46" s="99">
        <v>13.8044634146341</v>
      </c>
      <c r="DH46" s="99">
        <v>13.8656585365854</v>
      </c>
      <c r="DI46" s="99">
        <v>13.926853658536601</v>
      </c>
      <c r="DJ46" s="99">
        <v>13.9880487804878</v>
      </c>
      <c r="DK46" s="99">
        <v>14.049243902439001</v>
      </c>
      <c r="DL46" s="99">
        <v>14.1104390243902</v>
      </c>
      <c r="DM46" s="99">
        <v>14.1716341463415</v>
      </c>
      <c r="DN46" s="99">
        <v>14.232829268292701</v>
      </c>
      <c r="DO46" s="99">
        <v>14.2940243902439</v>
      </c>
      <c r="DP46" s="99">
        <v>14.355219512195101</v>
      </c>
      <c r="DQ46" s="99">
        <v>14.4164146341463</v>
      </c>
      <c r="DR46" s="99">
        <v>14.4776097560976</v>
      </c>
      <c r="DS46" s="99">
        <v>14.538804878048801</v>
      </c>
      <c r="DT46" s="99">
        <v>14.6</v>
      </c>
      <c r="DU46" s="99">
        <v>14.6611951219512</v>
      </c>
      <c r="DV46" s="99">
        <v>14.722390243902399</v>
      </c>
      <c r="DW46" s="99">
        <v>14.7835853658537</v>
      </c>
      <c r="DX46" s="99">
        <v>14.844780487804901</v>
      </c>
      <c r="DY46" s="99">
        <v>14.9059756097561</v>
      </c>
      <c r="DZ46" s="99">
        <v>14.9671707317073</v>
      </c>
      <c r="EA46" s="99">
        <v>15.028365853658499</v>
      </c>
      <c r="EB46" s="99">
        <v>15.0895609756098</v>
      </c>
      <c r="EC46" s="99">
        <v>15.150756097561001</v>
      </c>
      <c r="ED46" s="99">
        <v>15.2119512195122</v>
      </c>
      <c r="EE46" s="99">
        <v>15.2731463414634</v>
      </c>
      <c r="EF46" s="99">
        <v>15.334341463414599</v>
      </c>
      <c r="EG46" s="99">
        <v>15.3955365853659</v>
      </c>
      <c r="EH46" s="99">
        <v>15.4567317073171</v>
      </c>
      <c r="EI46" s="99">
        <v>15.517926829268299</v>
      </c>
      <c r="EJ46" s="99">
        <v>15.5791219512195</v>
      </c>
      <c r="EK46" s="99">
        <v>15.640317073170699</v>
      </c>
      <c r="EL46" s="99">
        <v>15.7015121951219</v>
      </c>
      <c r="EM46" s="99">
        <v>15.7627073170732</v>
      </c>
      <c r="EN46" s="99">
        <v>15.823902439024399</v>
      </c>
      <c r="EO46" s="99">
        <v>15.8850975609756</v>
      </c>
      <c r="EP46" s="99">
        <v>15.946292682926799</v>
      </c>
      <c r="EQ46" s="99">
        <v>16.007487804878</v>
      </c>
      <c r="ER46" s="99">
        <v>16.0686829268293</v>
      </c>
      <c r="ES46" s="99">
        <v>16.129878048780501</v>
      </c>
      <c r="ET46" s="99">
        <v>16.191073170731698</v>
      </c>
      <c r="EU46" s="99">
        <v>16.252268292682899</v>
      </c>
      <c r="EV46" s="99">
        <v>16.3134634146341</v>
      </c>
      <c r="EW46" s="99">
        <v>16.3746585365854</v>
      </c>
      <c r="EX46" s="99">
        <v>16.435853658536601</v>
      </c>
      <c r="EY46" s="99">
        <v>16.497048780487798</v>
      </c>
      <c r="EZ46" s="99">
        <v>16.558243902438999</v>
      </c>
      <c r="FA46" s="99">
        <v>16.6194390243902</v>
      </c>
      <c r="FB46" s="99">
        <v>16.6806341463415</v>
      </c>
      <c r="FC46" s="99">
        <v>16.741829268292701</v>
      </c>
      <c r="FD46" s="99">
        <v>16.803024390243898</v>
      </c>
      <c r="FE46" s="99">
        <v>16.864219512195099</v>
      </c>
      <c r="FF46" s="99">
        <v>16.9254146341463</v>
      </c>
      <c r="FG46" s="99">
        <v>16.9866097560976</v>
      </c>
      <c r="FH46" s="99">
        <v>17.047804878048801</v>
      </c>
      <c r="FI46" s="99">
        <v>17.109000000000002</v>
      </c>
      <c r="FJ46" s="99">
        <v>17.170195121951199</v>
      </c>
      <c r="FK46" s="99">
        <v>17.2313902439024</v>
      </c>
      <c r="FL46" s="99">
        <v>17.292585365853601</v>
      </c>
      <c r="FM46" s="99">
        <v>17.353780487804901</v>
      </c>
      <c r="FN46" s="99">
        <v>17.414975609756102</v>
      </c>
      <c r="FO46" s="99">
        <v>17.476170731707299</v>
      </c>
      <c r="FP46" s="99">
        <v>17.5373658536585</v>
      </c>
      <c r="FQ46" s="99">
        <v>17.598560975609701</v>
      </c>
      <c r="FR46" s="99">
        <v>17.659756097561001</v>
      </c>
      <c r="FS46" s="99">
        <v>17.720951219512202</v>
      </c>
      <c r="FT46" s="99">
        <v>17.782146341463399</v>
      </c>
      <c r="FU46" s="99">
        <v>17.8433414634146</v>
      </c>
      <c r="FV46" s="99">
        <v>17.904536585365801</v>
      </c>
      <c r="FW46" s="99">
        <v>17.965731707317101</v>
      </c>
      <c r="FX46" s="99">
        <v>18.026926829268302</v>
      </c>
      <c r="FY46" s="99">
        <v>18.088121951219499</v>
      </c>
      <c r="FZ46" s="99">
        <v>18.1493170731707</v>
      </c>
      <c r="GA46" s="99">
        <v>18.2105121951219</v>
      </c>
      <c r="GB46" s="99">
        <v>18.271707317073201</v>
      </c>
      <c r="GC46" s="99">
        <v>18.332902439024402</v>
      </c>
      <c r="GD46" s="99">
        <v>18.394097560975599</v>
      </c>
      <c r="GE46" s="99">
        <v>18.4552926829268</v>
      </c>
      <c r="GF46" s="99">
        <v>18.516487804878</v>
      </c>
      <c r="GG46" s="99">
        <v>18.577682926829301</v>
      </c>
      <c r="GH46" s="99">
        <v>18.638878048780501</v>
      </c>
      <c r="GI46" s="99">
        <v>18.700073170731699</v>
      </c>
      <c r="GJ46" s="99">
        <v>18.7612682926829</v>
      </c>
      <c r="GK46" s="99">
        <v>18.8224634146341</v>
      </c>
      <c r="GL46" s="99">
        <v>18.883658536585301</v>
      </c>
      <c r="GM46" s="99">
        <v>18.944853658536601</v>
      </c>
      <c r="GN46" s="99">
        <v>19.006048780487799</v>
      </c>
      <c r="GO46" s="99">
        <v>19.067243902438999</v>
      </c>
      <c r="GP46" s="99">
        <v>19.1284390243902</v>
      </c>
      <c r="GQ46" s="99">
        <v>19.189634146341401</v>
      </c>
      <c r="GR46" s="99">
        <v>19.250829268292701</v>
      </c>
      <c r="GS46" s="99">
        <v>19.312024390243899</v>
      </c>
      <c r="GT46" s="99">
        <v>19.373219512195099</v>
      </c>
      <c r="GU46" s="99">
        <v>19.4344146341463</v>
      </c>
      <c r="GV46" s="99">
        <v>19.495609756097501</v>
      </c>
      <c r="GW46" s="99">
        <v>19.556804878048801</v>
      </c>
      <c r="GX46" s="99">
        <v>19.617999999999999</v>
      </c>
      <c r="GY46" s="99">
        <v>19.679195121951199</v>
      </c>
      <c r="GZ46" s="99">
        <v>19.7403902439024</v>
      </c>
      <c r="HA46" s="99">
        <v>19.801585365853601</v>
      </c>
      <c r="HB46" s="99">
        <v>19.862780487804901</v>
      </c>
      <c r="HC46" s="99">
        <v>19.923975609756098</v>
      </c>
      <c r="HD46" s="99">
        <v>19.985170731707299</v>
      </c>
      <c r="HE46" s="99">
        <v>20.0463658536585</v>
      </c>
      <c r="HF46" s="99">
        <v>20.107560975609701</v>
      </c>
      <c r="HG46" s="99">
        <v>20.168756097561001</v>
      </c>
      <c r="HH46" s="99">
        <v>20.229951219512198</v>
      </c>
      <c r="HI46" s="99">
        <v>20.291146341463399</v>
      </c>
      <c r="HJ46" s="99">
        <v>20.3523414634146</v>
      </c>
      <c r="HK46" s="99">
        <v>20.413536585365801</v>
      </c>
      <c r="HL46" s="99">
        <v>20.474731707317101</v>
      </c>
      <c r="HM46" s="99">
        <v>20.535926829268298</v>
      </c>
      <c r="HN46" s="99">
        <v>20.597121951219499</v>
      </c>
      <c r="HO46" s="99">
        <v>20.6583170731707</v>
      </c>
      <c r="HP46" s="99">
        <v>20.719512195121901</v>
      </c>
      <c r="HQ46" s="99">
        <v>20.780707317073201</v>
      </c>
      <c r="HR46" s="99">
        <v>20.841902439024398</v>
      </c>
      <c r="HS46" s="99">
        <v>20.903097560975599</v>
      </c>
      <c r="HT46" s="99">
        <v>20.9642926829268</v>
      </c>
      <c r="HU46" s="99">
        <v>21.025487804878001</v>
      </c>
      <c r="HV46" s="99">
        <v>21.086682926829301</v>
      </c>
      <c r="HW46" s="99">
        <v>21.147878048780498</v>
      </c>
      <c r="HX46" s="99">
        <v>21.209073170731699</v>
      </c>
      <c r="HY46" s="99">
        <v>21.2702682926829</v>
      </c>
      <c r="HZ46" s="99">
        <v>21.331463414634101</v>
      </c>
      <c r="IA46" s="99">
        <v>21.392658536585401</v>
      </c>
      <c r="IB46" s="99">
        <v>21.453853658536602</v>
      </c>
      <c r="IC46" s="99">
        <v>21.515048780487799</v>
      </c>
      <c r="ID46" s="99">
        <v>21.576243902439</v>
      </c>
      <c r="IE46" s="99">
        <v>21.637439024390201</v>
      </c>
      <c r="IF46" s="99">
        <v>21.698634146341401</v>
      </c>
      <c r="IG46" s="99">
        <v>21.759829268292702</v>
      </c>
      <c r="IH46" s="99">
        <v>21.821024390243899</v>
      </c>
      <c r="II46" s="99">
        <v>21.8822195121951</v>
      </c>
      <c r="IJ46" s="99">
        <v>21.943414634146301</v>
      </c>
      <c r="IK46" s="99">
        <v>22.004609756097501</v>
      </c>
      <c r="IL46" s="99">
        <v>22.065804878048802</v>
      </c>
      <c r="IM46" s="99">
        <v>22.126999999999999</v>
      </c>
      <c r="IN46" s="99">
        <v>22.1881951219512</v>
      </c>
      <c r="IO46" s="99">
        <v>22.2493902439024</v>
      </c>
      <c r="IP46" s="99">
        <v>22.310585365853601</v>
      </c>
      <c r="IQ46" s="99">
        <v>22.371780487804902</v>
      </c>
      <c r="IR46" s="99">
        <v>22.432975609756099</v>
      </c>
      <c r="IS46" s="99">
        <v>22.4941707317073</v>
      </c>
      <c r="IT46" s="99">
        <v>22.5553658536585</v>
      </c>
      <c r="IU46" s="99">
        <v>22.616560975609701</v>
      </c>
      <c r="IV46" s="99">
        <v>22.677756097561002</v>
      </c>
      <c r="IW46" s="99">
        <v>22.738951219512199</v>
      </c>
      <c r="IX46" s="99">
        <v>22.8001463414634</v>
      </c>
      <c r="IY46" s="99">
        <v>22.8613414634146</v>
      </c>
      <c r="IZ46" s="99">
        <v>22.922536585365801</v>
      </c>
      <c r="JA46" s="99">
        <v>22.983731707317101</v>
      </c>
      <c r="JB46" s="99">
        <v>23.044926829268299</v>
      </c>
      <c r="JC46" s="99">
        <v>23.1061219512195</v>
      </c>
      <c r="JD46" s="99">
        <v>23.1673170731707</v>
      </c>
      <c r="JE46" s="99">
        <v>23.228512195121901</v>
      </c>
      <c r="JF46" s="99">
        <v>23.289707317073201</v>
      </c>
      <c r="JG46" s="99">
        <v>23.350902439024399</v>
      </c>
      <c r="JH46" s="99">
        <v>23.412097560975599</v>
      </c>
      <c r="JI46" s="99">
        <v>23.4732926829268</v>
      </c>
      <c r="JJ46" s="99">
        <v>23.534487804878001</v>
      </c>
      <c r="JK46" s="99">
        <v>23.595682926829301</v>
      </c>
      <c r="JL46" s="99">
        <v>23.656878048780499</v>
      </c>
      <c r="JM46" s="99">
        <v>23.718073170731699</v>
      </c>
      <c r="JN46" s="99">
        <v>23.7792682926829</v>
      </c>
      <c r="JO46" s="99">
        <v>23.840463414634101</v>
      </c>
      <c r="JP46" s="99">
        <v>23.901658536585401</v>
      </c>
      <c r="JQ46" s="99">
        <v>23.962853658536599</v>
      </c>
      <c r="JR46" s="99">
        <v>24.024048780487799</v>
      </c>
      <c r="JS46" s="99">
        <v>24.085243902439</v>
      </c>
      <c r="JT46" s="99">
        <v>24.146439024390201</v>
      </c>
      <c r="JU46" s="99">
        <v>24.207634146341402</v>
      </c>
      <c r="JV46" s="99">
        <v>24.268829268292698</v>
      </c>
      <c r="JW46" s="99">
        <v>24.330024390243899</v>
      </c>
      <c r="JX46" s="99">
        <v>24.3912195121951</v>
      </c>
      <c r="JY46" s="99">
        <v>24.452414634146301</v>
      </c>
      <c r="JZ46" s="99">
        <v>24.513609756097502</v>
      </c>
      <c r="KA46" s="99">
        <v>24.574804878048798</v>
      </c>
      <c r="KB46" s="99">
        <v>24.635999999999999</v>
      </c>
      <c r="KC46" s="99">
        <v>24.6971951219512</v>
      </c>
      <c r="KD46" s="99">
        <v>24.758390243902401</v>
      </c>
      <c r="KE46" s="99">
        <v>24.819585365853602</v>
      </c>
      <c r="KF46" s="99">
        <v>24.880780487804898</v>
      </c>
      <c r="KG46" s="99">
        <v>24.941975609756099</v>
      </c>
      <c r="KH46" s="99">
        <v>25.0031707317073</v>
      </c>
      <c r="KI46" s="99">
        <v>25.064365853658501</v>
      </c>
      <c r="KJ46" s="99">
        <v>25.125560975609702</v>
      </c>
      <c r="KK46" s="99">
        <v>25.186756097560998</v>
      </c>
      <c r="KL46" s="99">
        <v>25.247951219512199</v>
      </c>
      <c r="KM46" s="99">
        <v>25.3091463414634</v>
      </c>
      <c r="KN46" s="99">
        <v>25.370341463414601</v>
      </c>
      <c r="KO46" s="99">
        <v>25.431536585365802</v>
      </c>
      <c r="KP46" s="99">
        <v>25.492731707317098</v>
      </c>
      <c r="KQ46" s="99">
        <v>25.553926829268299</v>
      </c>
      <c r="KR46" s="99">
        <v>25.6151219512195</v>
      </c>
      <c r="KS46" s="99">
        <v>25.676317073170701</v>
      </c>
      <c r="KT46" s="99">
        <v>25.737512195121901</v>
      </c>
      <c r="KU46" s="99">
        <v>25.798707317073202</v>
      </c>
      <c r="KV46" s="99">
        <v>25.859902439024399</v>
      </c>
      <c r="KW46" s="99">
        <v>25.9210975609756</v>
      </c>
      <c r="KX46" s="99">
        <v>25.982292682926801</v>
      </c>
      <c r="KY46" s="99">
        <v>26.043487804878001</v>
      </c>
      <c r="KZ46" s="99">
        <v>26.104682926829302</v>
      </c>
      <c r="LA46" s="99">
        <v>26.165878048780499</v>
      </c>
      <c r="LB46" s="99">
        <v>26.2270731707317</v>
      </c>
      <c r="LC46" s="99">
        <v>26.288268292682901</v>
      </c>
      <c r="LD46" s="99">
        <v>26.349463414634101</v>
      </c>
      <c r="LE46" s="99">
        <v>26.410658536585402</v>
      </c>
      <c r="LF46" s="99">
        <v>26.471853658536599</v>
      </c>
      <c r="LG46" s="99">
        <v>26.5330487804878</v>
      </c>
      <c r="LH46" s="99">
        <v>26.594243902439</v>
      </c>
      <c r="LI46" s="99">
        <v>26.655439024390201</v>
      </c>
      <c r="LJ46" s="99">
        <v>26.716634146341399</v>
      </c>
      <c r="LK46" s="99">
        <v>26.777829268292699</v>
      </c>
      <c r="LL46" s="99">
        <v>26.8390243902439</v>
      </c>
      <c r="LM46" s="99">
        <v>26.9002195121951</v>
      </c>
      <c r="LN46" s="99">
        <v>26.961414634146301</v>
      </c>
      <c r="LO46" s="99">
        <v>27.022609756097498</v>
      </c>
      <c r="LP46" s="99">
        <v>27.083804878048799</v>
      </c>
      <c r="LQ46" s="99">
        <v>27.145</v>
      </c>
      <c r="LR46" s="99">
        <v>27.2061951219512</v>
      </c>
      <c r="LS46" s="99">
        <v>27.267390243902401</v>
      </c>
      <c r="LT46" s="99">
        <v>27.328585365853598</v>
      </c>
      <c r="LU46" s="99">
        <v>27.389780487804899</v>
      </c>
      <c r="LV46" s="99">
        <v>27.4509756097561</v>
      </c>
      <c r="LW46" s="99">
        <v>27.5121707317073</v>
      </c>
      <c r="LX46" s="99">
        <v>27.573365853658501</v>
      </c>
      <c r="LY46" s="99">
        <v>27.634560975609698</v>
      </c>
      <c r="LZ46" s="99">
        <v>27.695756097560999</v>
      </c>
      <c r="MA46" s="99">
        <v>27.756951219512199</v>
      </c>
      <c r="MB46" s="99">
        <v>27.8181463414634</v>
      </c>
      <c r="MC46" s="99">
        <v>27.879341463414601</v>
      </c>
      <c r="MD46" s="99">
        <v>27.940536585365798</v>
      </c>
      <c r="ME46" s="99">
        <v>28.001731707317099</v>
      </c>
      <c r="MF46" s="99">
        <v>28.062926829268299</v>
      </c>
      <c r="MG46" s="99">
        <v>28.1241219512195</v>
      </c>
      <c r="MH46" s="99">
        <v>28.185317073170701</v>
      </c>
      <c r="MI46" s="99">
        <v>28.246512195121898</v>
      </c>
      <c r="MJ46" s="99">
        <v>28.307707317073199</v>
      </c>
      <c r="MK46" s="99">
        <v>28.368902439024399</v>
      </c>
      <c r="ML46" s="99">
        <v>28.4300975609756</v>
      </c>
      <c r="MM46" s="99">
        <v>28.491292682926801</v>
      </c>
      <c r="MN46" s="99">
        <v>28.552487804878002</v>
      </c>
      <c r="MO46" s="99">
        <v>28.613682926829298</v>
      </c>
      <c r="MP46" s="99">
        <v>28.674878048780499</v>
      </c>
      <c r="MQ46" s="99">
        <v>28.7360731707317</v>
      </c>
      <c r="MR46" s="99">
        <v>28.797268292682901</v>
      </c>
      <c r="MS46" s="99">
        <v>28.858463414634102</v>
      </c>
      <c r="MT46" s="99">
        <v>28.919658536585398</v>
      </c>
      <c r="MU46" s="99">
        <v>28.980853658536599</v>
      </c>
      <c r="MV46" s="99">
        <v>29.0420487804878</v>
      </c>
      <c r="MW46" s="99">
        <v>29.103243902439001</v>
      </c>
      <c r="MX46" s="99">
        <v>29.164439024390202</v>
      </c>
      <c r="MY46" s="99">
        <v>29.225634146341399</v>
      </c>
      <c r="MZ46" s="99">
        <v>29.286829268292699</v>
      </c>
      <c r="NA46" s="99">
        <v>29.3480243902439</v>
      </c>
      <c r="NB46" s="99">
        <v>29.409219512195101</v>
      </c>
      <c r="NC46" s="99">
        <v>29.470414634146302</v>
      </c>
      <c r="ND46" s="99">
        <v>29.531609756097499</v>
      </c>
      <c r="NE46" s="99">
        <v>29.592804878048799</v>
      </c>
      <c r="NF46" s="99">
        <v>29.654</v>
      </c>
      <c r="NG46" s="99">
        <v>29.715195121951201</v>
      </c>
      <c r="NH46" s="99">
        <v>29.776390243902402</v>
      </c>
      <c r="NI46" s="99">
        <v>29.837585365853599</v>
      </c>
      <c r="NJ46" s="99">
        <v>29.898780487804899</v>
      </c>
      <c r="NK46" s="99">
        <v>29.9599756097561</v>
      </c>
      <c r="NL46" s="99">
        <v>30.021170731707301</v>
      </c>
      <c r="NM46" s="99">
        <v>30.082365853658501</v>
      </c>
      <c r="NN46" s="99">
        <v>30.143560975609699</v>
      </c>
      <c r="NO46" s="99">
        <v>30.204756097560999</v>
      </c>
      <c r="NP46" s="99">
        <v>30.2659512195122</v>
      </c>
      <c r="NQ46" s="99">
        <v>30.327146341463401</v>
      </c>
      <c r="NR46" s="99">
        <v>30.388341463414601</v>
      </c>
      <c r="NS46" s="99">
        <v>30.449536585365799</v>
      </c>
      <c r="NT46" s="99">
        <v>30.510731707317099</v>
      </c>
      <c r="NU46" s="99">
        <v>30.5719268292683</v>
      </c>
      <c r="NV46" s="99">
        <v>30.633121951219501</v>
      </c>
      <c r="NW46" s="99">
        <v>30.694317073170701</v>
      </c>
      <c r="NX46" s="99">
        <v>30.755512195121899</v>
      </c>
      <c r="NY46" s="99">
        <v>30.816707317073199</v>
      </c>
      <c r="NZ46" s="99">
        <v>30.8779024390244</v>
      </c>
      <c r="OA46" s="99">
        <v>30.9390975609756</v>
      </c>
      <c r="OB46" s="99">
        <v>31.000292682926801</v>
      </c>
      <c r="OC46" s="99">
        <v>31.061487804877999</v>
      </c>
      <c r="OD46" s="99">
        <v>31.122682926829299</v>
      </c>
      <c r="OE46" s="99">
        <v>31.1838780487805</v>
      </c>
      <c r="OF46" s="99">
        <v>31.2450731707317</v>
      </c>
      <c r="OG46" s="99">
        <v>31.306268292682901</v>
      </c>
      <c r="OH46" s="99">
        <v>31.367463414634098</v>
      </c>
      <c r="OI46" s="99">
        <v>31.428658536585399</v>
      </c>
      <c r="OJ46" s="99">
        <v>31.4898536585366</v>
      </c>
      <c r="OK46" s="99">
        <v>31.5510487804878</v>
      </c>
      <c r="OL46" s="99">
        <v>31.612243902439001</v>
      </c>
      <c r="OM46" s="99">
        <v>31.673439024390198</v>
      </c>
      <c r="ON46" s="99">
        <v>31.734634146341399</v>
      </c>
      <c r="OO46" s="99">
        <v>31.7958292682927</v>
      </c>
      <c r="OP46" s="99">
        <v>31.8570243902439</v>
      </c>
      <c r="OQ46" s="99">
        <v>31.918219512195101</v>
      </c>
      <c r="OR46" s="99">
        <v>31.979414634146298</v>
      </c>
      <c r="OS46" s="99">
        <v>32.040609756097503</v>
      </c>
      <c r="OT46" s="99">
        <v>32.101804878048803</v>
      </c>
      <c r="OU46" s="99">
        <v>32.162999999999997</v>
      </c>
      <c r="OV46" s="99">
        <v>32.224195121951198</v>
      </c>
      <c r="OW46" s="99">
        <v>32.285390243902398</v>
      </c>
      <c r="OX46" s="99">
        <v>32.346585365853599</v>
      </c>
      <c r="OY46" s="99">
        <v>32.407780487804899</v>
      </c>
      <c r="OZ46" s="99">
        <v>32.4689756097561</v>
      </c>
      <c r="PA46" s="99">
        <v>32.530170731707301</v>
      </c>
      <c r="PB46" s="99">
        <v>32.591365853658502</v>
      </c>
      <c r="PC46" s="99">
        <v>32.652560975609703</v>
      </c>
      <c r="PD46" s="99">
        <v>32.713756097561003</v>
      </c>
      <c r="PE46" s="99">
        <v>32.774951219512197</v>
      </c>
      <c r="PF46" s="99">
        <v>32.836146341463397</v>
      </c>
      <c r="PG46" s="99">
        <v>32.897341463414598</v>
      </c>
      <c r="PH46" s="99">
        <v>32.958536585365799</v>
      </c>
      <c r="PI46" s="99">
        <v>33.019731707317099</v>
      </c>
      <c r="PJ46" s="99">
        <v>33.0809268292683</v>
      </c>
      <c r="PK46" s="99">
        <v>33.142121951219501</v>
      </c>
      <c r="PL46" s="99">
        <v>33.203317073170702</v>
      </c>
      <c r="PM46" s="99">
        <v>33.264512195121902</v>
      </c>
      <c r="PN46" s="99">
        <v>33.325707317073203</v>
      </c>
      <c r="PO46" s="99">
        <v>33.386902439024396</v>
      </c>
      <c r="PP46" s="99">
        <v>33.448097560975597</v>
      </c>
      <c r="PQ46" s="99">
        <v>33.509292682926798</v>
      </c>
      <c r="PR46" s="99">
        <v>33.570487804877999</v>
      </c>
      <c r="PS46" s="99">
        <v>33.631682926829299</v>
      </c>
      <c r="PT46" s="99">
        <v>33.6928780487805</v>
      </c>
      <c r="PU46" s="99">
        <v>33.754073170731701</v>
      </c>
      <c r="PV46" s="99">
        <v>33.815268292682902</v>
      </c>
      <c r="PW46" s="99">
        <v>33.876463414634102</v>
      </c>
      <c r="PX46" s="99">
        <v>33.937658536585403</v>
      </c>
      <c r="PY46" s="99">
        <v>33.998853658536603</v>
      </c>
      <c r="PZ46" s="99">
        <v>34.060048780487797</v>
      </c>
      <c r="QA46" s="99">
        <v>34.121243902438998</v>
      </c>
      <c r="QB46" s="99">
        <v>34.182439024390199</v>
      </c>
      <c r="QC46" s="99">
        <v>34.2436341463414</v>
      </c>
      <c r="QD46" s="99">
        <v>34.3048292682927</v>
      </c>
      <c r="QE46" s="99">
        <v>34.366024390243901</v>
      </c>
      <c r="QF46" s="99">
        <v>34.427219512195101</v>
      </c>
      <c r="QG46" s="99">
        <v>34.488414634146302</v>
      </c>
      <c r="QH46" s="99">
        <v>34.549609756097503</v>
      </c>
      <c r="QI46" s="99">
        <v>34.610804878048803</v>
      </c>
      <c r="QJ46" s="99">
        <v>34.671999999999997</v>
      </c>
      <c r="QK46" s="99">
        <v>34.733195121951198</v>
      </c>
      <c r="QL46" s="99">
        <v>34.794390243902399</v>
      </c>
      <c r="QM46" s="99">
        <v>34.855585365853599</v>
      </c>
      <c r="QN46" s="99">
        <v>34.9167804878049</v>
      </c>
      <c r="QO46" s="99">
        <v>34.977975609756101</v>
      </c>
      <c r="QP46" s="99">
        <v>35.039170731707301</v>
      </c>
      <c r="QQ46" s="99">
        <v>35.100365853658502</v>
      </c>
      <c r="QR46" s="99">
        <v>35.161560975609703</v>
      </c>
      <c r="QS46" s="99">
        <v>35.222756097561003</v>
      </c>
      <c r="QT46" s="99">
        <v>35.283951219512197</v>
      </c>
      <c r="QU46" s="99">
        <v>35.345146341463398</v>
      </c>
      <c r="QV46" s="99">
        <v>35.406341463414599</v>
      </c>
      <c r="QW46" s="99">
        <v>35.467536585365799</v>
      </c>
      <c r="QX46" s="99">
        <v>35.5287317073171</v>
      </c>
      <c r="QY46" s="99">
        <v>35.5899268292683</v>
      </c>
      <c r="QZ46" s="99">
        <v>35.651121951219501</v>
      </c>
      <c r="RA46" s="99">
        <v>35.712317073170702</v>
      </c>
      <c r="RB46" s="99">
        <v>35.773512195121903</v>
      </c>
      <c r="RC46" s="99">
        <v>35.834707317073203</v>
      </c>
      <c r="RD46" s="99">
        <v>35.895902439024397</v>
      </c>
      <c r="RE46" s="99">
        <v>35.957097560975598</v>
      </c>
      <c r="RF46" s="99">
        <v>36.018292682926798</v>
      </c>
      <c r="RG46" s="99">
        <v>36.079487804877999</v>
      </c>
      <c r="RH46" s="99">
        <v>36.1406829268293</v>
      </c>
      <c r="RI46" s="99">
        <v>36.2018780487805</v>
      </c>
      <c r="RJ46" s="99">
        <v>36.263073170731701</v>
      </c>
      <c r="RK46" s="99">
        <v>36.324268292682902</v>
      </c>
      <c r="RL46" s="99">
        <v>36.385463414634103</v>
      </c>
      <c r="RM46" s="99">
        <v>36.446658536585403</v>
      </c>
      <c r="RN46" s="99">
        <v>36.507853658536597</v>
      </c>
      <c r="RO46" s="99">
        <v>36.569048780487798</v>
      </c>
      <c r="RP46" s="99">
        <v>36.630243902438998</v>
      </c>
      <c r="RQ46" s="99">
        <v>36.691439024390199</v>
      </c>
      <c r="RR46" s="99">
        <v>36.7526341463414</v>
      </c>
      <c r="RS46" s="99">
        <v>36.8138292682927</v>
      </c>
      <c r="RT46" s="99">
        <v>36.875024390243901</v>
      </c>
      <c r="RU46" s="99">
        <v>36.936219512195102</v>
      </c>
      <c r="RV46" s="99">
        <v>36.997414634146303</v>
      </c>
      <c r="RW46" s="99">
        <v>37.058609756097503</v>
      </c>
      <c r="RX46" s="99">
        <v>37.119804878048797</v>
      </c>
      <c r="RY46" s="99">
        <v>37.180999999999997</v>
      </c>
      <c r="RZ46" s="99">
        <v>37.242195121951198</v>
      </c>
      <c r="SA46" s="99">
        <v>37.303390243902399</v>
      </c>
      <c r="SB46" s="99">
        <v>37.3645853658536</v>
      </c>
      <c r="SC46" s="99">
        <v>37.4257804878049</v>
      </c>
      <c r="SD46" s="99">
        <v>37.486975609756101</v>
      </c>
      <c r="SE46" s="99">
        <v>37.548170731707302</v>
      </c>
      <c r="SF46" s="99">
        <v>37.609365853658502</v>
      </c>
      <c r="SG46" s="99">
        <v>37.670560975609703</v>
      </c>
      <c r="SH46" s="99">
        <v>37.731756097560996</v>
      </c>
      <c r="SI46" s="99">
        <v>37.792951219512197</v>
      </c>
      <c r="SJ46" s="99">
        <v>37.854146341463398</v>
      </c>
      <c r="SK46" s="99">
        <v>37.915341463414599</v>
      </c>
      <c r="SL46" s="99">
        <v>37.9765365853658</v>
      </c>
      <c r="SM46" s="99">
        <v>38.0377317073171</v>
      </c>
      <c r="SN46" s="99">
        <v>38.098926829268301</v>
      </c>
      <c r="SO46" s="99">
        <v>38.160121951219502</v>
      </c>
      <c r="SP46" s="99">
        <v>38.221317073170702</v>
      </c>
      <c r="SQ46" s="99">
        <v>38.282512195121903</v>
      </c>
      <c r="SR46" s="99">
        <v>38.343707317073203</v>
      </c>
      <c r="SS46" s="99">
        <v>38.404902439024397</v>
      </c>
      <c r="ST46" s="99">
        <v>38.466097560975598</v>
      </c>
      <c r="SU46" s="99">
        <v>38.527292682926799</v>
      </c>
      <c r="SV46" s="99">
        <v>38.588487804878</v>
      </c>
      <c r="SW46" s="99">
        <v>38.6496829268293</v>
      </c>
      <c r="SX46" s="99">
        <v>38.710878048780501</v>
      </c>
      <c r="SY46" s="99">
        <v>38.772073170731701</v>
      </c>
      <c r="SZ46" s="99">
        <v>38.833268292682902</v>
      </c>
      <c r="TA46" s="99">
        <v>38.894463414634103</v>
      </c>
      <c r="TB46" s="99">
        <v>38.955658536585403</v>
      </c>
      <c r="TC46" s="99">
        <v>39.016853658536597</v>
      </c>
      <c r="TD46" s="99">
        <v>39.078048780487798</v>
      </c>
      <c r="TE46" s="99">
        <v>39.139243902438999</v>
      </c>
      <c r="TF46" s="99">
        <v>39.200439024390199</v>
      </c>
      <c r="TG46" s="99">
        <v>39.2616341463414</v>
      </c>
      <c r="TH46" s="99">
        <v>39.322829268292701</v>
      </c>
      <c r="TI46" s="99">
        <v>39.384024390243901</v>
      </c>
      <c r="TJ46" s="99">
        <v>39.445219512195102</v>
      </c>
      <c r="TK46" s="99">
        <v>39.506414634146303</v>
      </c>
      <c r="TL46" s="99">
        <v>39.567609756097497</v>
      </c>
      <c r="TM46" s="99">
        <v>39.628804878048797</v>
      </c>
      <c r="TN46" s="99">
        <v>39.69</v>
      </c>
      <c r="TO46" s="99">
        <v>39.751195121951199</v>
      </c>
      <c r="TP46" s="99">
        <v>39.812390243902399</v>
      </c>
      <c r="TQ46" s="99">
        <v>39.8735853658536</v>
      </c>
      <c r="TR46" s="99">
        <v>39.9347804878049</v>
      </c>
      <c r="TS46" s="99">
        <v>39.995975609756101</v>
      </c>
      <c r="TT46" s="99">
        <v>40.057170731707302</v>
      </c>
      <c r="TU46" s="99">
        <v>40.118365853658503</v>
      </c>
      <c r="TV46" s="99">
        <v>40.179560975609697</v>
      </c>
      <c r="TW46" s="99">
        <v>40.240756097560997</v>
      </c>
      <c r="TX46" s="99">
        <v>40.301951219512198</v>
      </c>
      <c r="TY46" s="99">
        <v>40.363146341463398</v>
      </c>
      <c r="TZ46" s="99">
        <v>40.424341463414599</v>
      </c>
      <c r="UA46" s="99">
        <v>40.4855365853658</v>
      </c>
      <c r="UB46" s="99">
        <v>40.5467317073171</v>
      </c>
      <c r="UC46" s="99">
        <v>40.607926829268301</v>
      </c>
      <c r="UD46" s="99">
        <v>40.669121951219502</v>
      </c>
      <c r="UE46" s="99">
        <v>40.730317073170703</v>
      </c>
      <c r="UF46" s="99">
        <v>40.791512195121904</v>
      </c>
      <c r="UG46" s="99">
        <v>40.852707317073197</v>
      </c>
      <c r="UH46" s="99">
        <v>40.913902439024397</v>
      </c>
      <c r="UI46" s="99">
        <v>40.975097560975598</v>
      </c>
      <c r="UJ46" s="99">
        <v>41.036292682926799</v>
      </c>
      <c r="UK46" s="99">
        <v>41.097487804878</v>
      </c>
      <c r="UL46" s="99">
        <v>41.1586829268293</v>
      </c>
      <c r="UM46" s="99">
        <v>41.219878048780501</v>
      </c>
      <c r="UN46" s="99">
        <v>41.281073170731702</v>
      </c>
      <c r="UO46" s="99">
        <v>41.342268292682903</v>
      </c>
      <c r="UP46" s="99">
        <v>41.403463414634103</v>
      </c>
      <c r="UQ46" s="99">
        <v>41.464658536585397</v>
      </c>
      <c r="UR46" s="99">
        <v>41.525853658536597</v>
      </c>
      <c r="US46" s="99">
        <v>41.587048780487798</v>
      </c>
      <c r="UT46" s="99">
        <v>41.648243902438999</v>
      </c>
    </row>
    <row r="47" spans="1:566" x14ac:dyDescent="0.2">
      <c r="A47" s="89">
        <v>20.5</v>
      </c>
      <c r="B47" s="90">
        <v>7.06</v>
      </c>
      <c r="C47" s="90">
        <v>7.12</v>
      </c>
      <c r="D47" s="90">
        <v>7.18</v>
      </c>
      <c r="E47" s="90">
        <v>7.24</v>
      </c>
      <c r="F47" s="90">
        <v>7.31</v>
      </c>
      <c r="G47" s="90">
        <v>7.37</v>
      </c>
      <c r="H47" s="90">
        <v>7.43</v>
      </c>
      <c r="I47" s="90">
        <v>7.49</v>
      </c>
      <c r="J47" s="90">
        <v>7.55</v>
      </c>
      <c r="K47" s="90">
        <v>7.61</v>
      </c>
      <c r="L47" s="90">
        <v>7.67</v>
      </c>
      <c r="M47" s="90">
        <v>7.73</v>
      </c>
      <c r="N47" s="90">
        <v>7.79</v>
      </c>
      <c r="O47" s="90">
        <v>7.85</v>
      </c>
      <c r="P47" s="90">
        <v>7.91</v>
      </c>
      <c r="Q47" s="90">
        <v>7.97</v>
      </c>
      <c r="R47" s="90">
        <v>8.0299999999999994</v>
      </c>
      <c r="S47" s="90">
        <v>8.09</v>
      </c>
      <c r="T47" s="90">
        <v>8.15</v>
      </c>
      <c r="U47" s="91">
        <v>8.2100000000000009</v>
      </c>
      <c r="V47" s="90">
        <v>8.2799999999999994</v>
      </c>
      <c r="W47" s="90">
        <v>8.34</v>
      </c>
      <c r="X47" s="90">
        <v>8.4</v>
      </c>
      <c r="Y47" s="90">
        <v>8.4600000000000009</v>
      </c>
      <c r="Z47" s="90">
        <v>8.52</v>
      </c>
      <c r="AA47" s="90">
        <v>8.58</v>
      </c>
      <c r="AB47" s="90">
        <v>8.64</v>
      </c>
      <c r="AC47" s="90">
        <v>8.6999999999999993</v>
      </c>
      <c r="AD47" s="90">
        <v>8.76</v>
      </c>
      <c r="AE47" s="90">
        <v>8.82</v>
      </c>
      <c r="AF47" s="90">
        <v>8.8800000000000008</v>
      </c>
      <c r="AG47" s="90">
        <v>8.94</v>
      </c>
      <c r="AH47" s="90">
        <v>9</v>
      </c>
      <c r="AI47" s="90">
        <v>9.06</v>
      </c>
      <c r="AJ47" s="90">
        <v>9.1199999999999992</v>
      </c>
      <c r="AK47" s="90">
        <v>9.18</v>
      </c>
      <c r="AL47" s="90">
        <v>9.25</v>
      </c>
      <c r="AM47" s="90">
        <v>9.31</v>
      </c>
      <c r="AN47" s="90">
        <v>9.3699999999999992</v>
      </c>
      <c r="AO47" s="91">
        <v>9.43</v>
      </c>
      <c r="AP47" s="90">
        <v>9.4882307692307695</v>
      </c>
      <c r="AQ47" s="90">
        <v>9.5488761726078799</v>
      </c>
      <c r="AR47" s="90">
        <v>9.6095215759849903</v>
      </c>
      <c r="AS47" s="90">
        <v>9.6701669793621008</v>
      </c>
      <c r="AT47" s="90">
        <v>9.7308123827392095</v>
      </c>
      <c r="AU47" s="90">
        <v>9.7914577861163199</v>
      </c>
      <c r="AV47" s="90">
        <v>9.8521031894934303</v>
      </c>
      <c r="AW47" s="90">
        <v>9.9127485928705408</v>
      </c>
      <c r="AX47" s="90">
        <v>9.9733939962476494</v>
      </c>
      <c r="AY47" s="90">
        <v>10.034039399624801</v>
      </c>
      <c r="AZ47" s="90">
        <v>10.094684803001901</v>
      </c>
      <c r="BA47" s="90">
        <v>10.155330206379</v>
      </c>
      <c r="BB47" s="90">
        <v>10.2159756097561</v>
      </c>
      <c r="BC47" s="90">
        <v>10.2766210131332</v>
      </c>
      <c r="BD47" s="90">
        <v>10.3372664165103</v>
      </c>
      <c r="BE47" s="90">
        <v>10.397911819887399</v>
      </c>
      <c r="BF47" s="90">
        <v>10.458557223264499</v>
      </c>
      <c r="BG47" s="90">
        <v>10.5192026266417</v>
      </c>
      <c r="BH47" s="90">
        <v>10.5798480300188</v>
      </c>
      <c r="BI47" s="91">
        <v>10.6404934333959</v>
      </c>
      <c r="BJ47" s="90">
        <v>10.701138836773</v>
      </c>
      <c r="BK47" s="99">
        <v>10.761784240150099</v>
      </c>
      <c r="BL47" s="99">
        <v>10.822429643527199</v>
      </c>
      <c r="BM47" s="99">
        <v>10.883075046904301</v>
      </c>
      <c r="BN47" s="99">
        <v>10.943720450281401</v>
      </c>
      <c r="BO47" s="99">
        <v>11.0043658536585</v>
      </c>
      <c r="BP47" s="99">
        <v>11.0650112570357</v>
      </c>
      <c r="BQ47" s="99">
        <v>11.125656660412799</v>
      </c>
      <c r="BR47" s="99">
        <v>11.186302063789901</v>
      </c>
      <c r="BS47" s="99">
        <v>11.246947467167001</v>
      </c>
      <c r="BT47" s="99">
        <v>11.3075928705441</v>
      </c>
      <c r="BU47" s="99">
        <v>11.3682382739212</v>
      </c>
      <c r="BV47" s="99">
        <v>11.4288836772983</v>
      </c>
      <c r="BW47" s="99">
        <v>11.4895290806754</v>
      </c>
      <c r="BX47" s="99">
        <v>11.5501744840525</v>
      </c>
      <c r="BY47" s="99">
        <v>11.610819887429599</v>
      </c>
      <c r="BZ47" s="99">
        <v>11.6714652908068</v>
      </c>
      <c r="CA47" s="99">
        <v>11.7321106941839</v>
      </c>
      <c r="CB47" s="99">
        <v>11.792756097561</v>
      </c>
      <c r="CC47" s="99">
        <v>11.8534015009381</v>
      </c>
      <c r="CD47" s="99">
        <v>11.9140469043152</v>
      </c>
      <c r="CE47" s="99">
        <v>11.974692307692299</v>
      </c>
      <c r="CF47" s="99">
        <v>12.035337711069401</v>
      </c>
      <c r="CG47" s="99">
        <v>12.095983114446501</v>
      </c>
      <c r="CH47" s="99">
        <v>12.1566285178236</v>
      </c>
      <c r="CI47" s="99">
        <v>12.2172739212008</v>
      </c>
      <c r="CJ47" s="99">
        <v>12.277919324577899</v>
      </c>
      <c r="CK47" s="99">
        <v>12.338564727954999</v>
      </c>
      <c r="CL47" s="99">
        <v>12.399210131332101</v>
      </c>
      <c r="CM47" s="99">
        <v>12.459855534709201</v>
      </c>
      <c r="CN47" s="99">
        <v>12.5205009380863</v>
      </c>
      <c r="CO47" s="99">
        <v>12.5811463414634</v>
      </c>
      <c r="CP47" s="99">
        <v>12.6417917448405</v>
      </c>
      <c r="CQ47" s="99">
        <v>12.7024371482176</v>
      </c>
      <c r="CR47" s="99">
        <v>12.763082551594801</v>
      </c>
      <c r="CS47" s="99">
        <v>12.823727954971901</v>
      </c>
      <c r="CT47" s="99">
        <v>12.884373358349</v>
      </c>
      <c r="CU47" s="99">
        <v>12.9450187617261</v>
      </c>
      <c r="CV47" s="99">
        <v>13.0056641651032</v>
      </c>
      <c r="CW47" s="99">
        <v>13.0663095684803</v>
      </c>
      <c r="CX47" s="99">
        <v>13.126954971857399</v>
      </c>
      <c r="CY47" s="99">
        <v>13.187600375234499</v>
      </c>
      <c r="CZ47" s="99">
        <v>13.248245778611601</v>
      </c>
      <c r="DA47" s="99">
        <v>13.308891181988701</v>
      </c>
      <c r="DB47" s="99">
        <v>13.3695365853659</v>
      </c>
      <c r="DC47" s="99">
        <v>13.430181988743</v>
      </c>
      <c r="DD47" s="99">
        <v>13.490827392120099</v>
      </c>
      <c r="DE47" s="99">
        <v>13.551472795497199</v>
      </c>
      <c r="DF47" s="99">
        <v>13.612118198874301</v>
      </c>
      <c r="DG47" s="99">
        <v>13.672763602251401</v>
      </c>
      <c r="DH47" s="99">
        <v>13.7334090056285</v>
      </c>
      <c r="DI47" s="99">
        <v>13.7940544090056</v>
      </c>
      <c r="DJ47" s="99">
        <v>13.8546998123827</v>
      </c>
      <c r="DK47" s="99">
        <v>13.915345215759899</v>
      </c>
      <c r="DL47" s="99">
        <v>13.975990619137001</v>
      </c>
      <c r="DM47" s="99">
        <v>14.0366360225141</v>
      </c>
      <c r="DN47" s="99">
        <v>14.0972814258912</v>
      </c>
      <c r="DO47" s="99">
        <v>14.1579268292683</v>
      </c>
      <c r="DP47" s="99">
        <v>14.2185722326454</v>
      </c>
      <c r="DQ47" s="99">
        <v>14.2792176360225</v>
      </c>
      <c r="DR47" s="99">
        <v>14.339863039399599</v>
      </c>
      <c r="DS47" s="99">
        <v>14.400508442776699</v>
      </c>
      <c r="DT47" s="99">
        <v>14.461153846153801</v>
      </c>
      <c r="DU47" s="99">
        <v>14.521799249531</v>
      </c>
      <c r="DV47" s="99">
        <v>14.5824446529081</v>
      </c>
      <c r="DW47" s="99">
        <v>14.6430900562852</v>
      </c>
      <c r="DX47" s="99">
        <v>14.703735459662299</v>
      </c>
      <c r="DY47" s="99">
        <v>14.764380863039399</v>
      </c>
      <c r="DZ47" s="99">
        <v>14.825026266416501</v>
      </c>
      <c r="EA47" s="99">
        <v>14.8856716697936</v>
      </c>
      <c r="EB47" s="99">
        <v>14.9463170731707</v>
      </c>
      <c r="EC47" s="99">
        <v>15.0069624765478</v>
      </c>
      <c r="ED47" s="99">
        <v>15.067607879924999</v>
      </c>
      <c r="EE47" s="99">
        <v>15.128253283302101</v>
      </c>
      <c r="EF47" s="99">
        <v>15.188898686679201</v>
      </c>
      <c r="EG47" s="99">
        <v>15.2495440900563</v>
      </c>
      <c r="EH47" s="99">
        <v>15.3101894934334</v>
      </c>
      <c r="EI47" s="99">
        <v>15.3708348968105</v>
      </c>
      <c r="EJ47" s="99">
        <v>15.4314803001876</v>
      </c>
      <c r="EK47" s="99">
        <v>15.4921257035647</v>
      </c>
      <c r="EL47" s="99">
        <v>15.552771106941799</v>
      </c>
      <c r="EM47" s="99">
        <v>15.613416510319</v>
      </c>
      <c r="EN47" s="99">
        <v>15.6740619136961</v>
      </c>
      <c r="EO47" s="99">
        <v>15.7347073170732</v>
      </c>
      <c r="EP47" s="99">
        <v>15.7953527204503</v>
      </c>
      <c r="EQ47" s="99">
        <v>15.855998123827399</v>
      </c>
      <c r="ER47" s="99">
        <v>15.916643527204499</v>
      </c>
      <c r="ES47" s="99">
        <v>15.977288930581601</v>
      </c>
      <c r="ET47" s="99">
        <v>16.037934333958699</v>
      </c>
      <c r="EU47" s="99">
        <v>16.0985797373358</v>
      </c>
      <c r="EV47" s="99">
        <v>16.159225140713001</v>
      </c>
      <c r="EW47" s="99">
        <v>16.219870544090099</v>
      </c>
      <c r="EX47" s="99">
        <v>16.280515947467201</v>
      </c>
      <c r="EY47" s="99">
        <v>16.341161350844299</v>
      </c>
      <c r="EZ47" s="99">
        <v>16.401806754221401</v>
      </c>
      <c r="FA47" s="99">
        <v>16.462452157598499</v>
      </c>
      <c r="FB47" s="99">
        <v>16.5230975609756</v>
      </c>
      <c r="FC47" s="99">
        <v>16.583742964352702</v>
      </c>
      <c r="FD47" s="99">
        <v>16.6443883677298</v>
      </c>
      <c r="FE47" s="99">
        <v>16.705033771106901</v>
      </c>
      <c r="FF47" s="99">
        <v>16.765679174484099</v>
      </c>
      <c r="FG47" s="99">
        <v>16.8263245778612</v>
      </c>
      <c r="FH47" s="99">
        <v>16.886969981238298</v>
      </c>
      <c r="FI47" s="99">
        <v>16.9476153846154</v>
      </c>
      <c r="FJ47" s="99">
        <v>17.008260787992501</v>
      </c>
      <c r="FK47" s="99">
        <v>17.068906191369599</v>
      </c>
      <c r="FL47" s="99">
        <v>17.129551594746701</v>
      </c>
      <c r="FM47" s="99">
        <v>17.190196998123799</v>
      </c>
      <c r="FN47" s="99">
        <v>17.250842401500901</v>
      </c>
      <c r="FO47" s="99">
        <v>17.311487804877999</v>
      </c>
      <c r="FP47" s="99">
        <v>17.3721332082551</v>
      </c>
      <c r="FQ47" s="99">
        <v>17.432778611632202</v>
      </c>
      <c r="FR47" s="99">
        <v>17.4934240150093</v>
      </c>
      <c r="FS47" s="99">
        <v>17.554069418386501</v>
      </c>
      <c r="FT47" s="99">
        <v>17.614714821763599</v>
      </c>
      <c r="FU47" s="99">
        <v>17.6753602251407</v>
      </c>
      <c r="FV47" s="99">
        <v>17.736005628517798</v>
      </c>
      <c r="FW47" s="99">
        <v>17.7966510318949</v>
      </c>
      <c r="FX47" s="99">
        <v>17.857296435272001</v>
      </c>
      <c r="FY47" s="99">
        <v>17.917941838649099</v>
      </c>
      <c r="FZ47" s="99">
        <v>17.978587242026201</v>
      </c>
      <c r="GA47" s="99">
        <v>18.039232645403299</v>
      </c>
      <c r="GB47" s="99">
        <v>18.099878048780401</v>
      </c>
      <c r="GC47" s="99">
        <v>18.160523452157602</v>
      </c>
      <c r="GD47" s="99">
        <v>18.2211688555347</v>
      </c>
      <c r="GE47" s="99">
        <v>18.281814258911801</v>
      </c>
      <c r="GF47" s="99">
        <v>18.342459662288899</v>
      </c>
      <c r="GG47" s="99">
        <v>18.403105065666001</v>
      </c>
      <c r="GH47" s="99">
        <v>18.463750469043099</v>
      </c>
      <c r="GI47" s="99">
        <v>18.5243958724202</v>
      </c>
      <c r="GJ47" s="99">
        <v>18.585041275797298</v>
      </c>
      <c r="GK47" s="99">
        <v>18.6456866791744</v>
      </c>
      <c r="GL47" s="99">
        <v>18.706332082551601</v>
      </c>
      <c r="GM47" s="99">
        <v>18.766977485928699</v>
      </c>
      <c r="GN47" s="99">
        <v>18.8276228893058</v>
      </c>
      <c r="GO47" s="99">
        <v>18.888268292682898</v>
      </c>
      <c r="GP47" s="99">
        <v>18.94891369606</v>
      </c>
      <c r="GQ47" s="99">
        <v>19.009559099437102</v>
      </c>
      <c r="GR47" s="99">
        <v>19.0702045028142</v>
      </c>
      <c r="GS47" s="99">
        <v>19.130849906191301</v>
      </c>
      <c r="GT47" s="99">
        <v>19.191495309568399</v>
      </c>
      <c r="GU47" s="99">
        <v>19.2521407129456</v>
      </c>
      <c r="GV47" s="99">
        <v>19.312786116322702</v>
      </c>
      <c r="GW47" s="99">
        <v>19.3734315196998</v>
      </c>
      <c r="GX47" s="99">
        <v>19.434076923076901</v>
      </c>
      <c r="GY47" s="99">
        <v>19.494722326453999</v>
      </c>
      <c r="GZ47" s="99">
        <v>19.555367729831101</v>
      </c>
      <c r="HA47" s="99">
        <v>19.616013133208199</v>
      </c>
      <c r="HB47" s="99">
        <v>19.6766585365853</v>
      </c>
      <c r="HC47" s="99">
        <v>19.737303939962398</v>
      </c>
      <c r="HD47" s="99">
        <v>19.7979493433395</v>
      </c>
      <c r="HE47" s="99">
        <v>19.858594746716701</v>
      </c>
      <c r="HF47" s="99">
        <v>19.919240150093799</v>
      </c>
      <c r="HG47" s="99">
        <v>19.979885553470901</v>
      </c>
      <c r="HH47" s="99">
        <v>20.040530956847999</v>
      </c>
      <c r="HI47" s="99">
        <v>20.1011763602251</v>
      </c>
      <c r="HJ47" s="99">
        <v>20.161821763602202</v>
      </c>
      <c r="HK47" s="99">
        <v>20.2224671669793</v>
      </c>
      <c r="HL47" s="99">
        <v>20.283112570356401</v>
      </c>
      <c r="HM47" s="99">
        <v>20.343757973733499</v>
      </c>
      <c r="HN47" s="99">
        <v>20.4044033771107</v>
      </c>
      <c r="HO47" s="99">
        <v>20.465048780487798</v>
      </c>
      <c r="HP47" s="99">
        <v>20.5256941838649</v>
      </c>
      <c r="HQ47" s="99">
        <v>20.586339587242001</v>
      </c>
      <c r="HR47" s="99">
        <v>20.646984990619099</v>
      </c>
      <c r="HS47" s="99">
        <v>20.707630393996201</v>
      </c>
      <c r="HT47" s="99">
        <v>20.768275797373299</v>
      </c>
      <c r="HU47" s="99">
        <v>20.828921200750401</v>
      </c>
      <c r="HV47" s="99">
        <v>20.889566604127499</v>
      </c>
      <c r="HW47" s="99">
        <v>20.9502120075046</v>
      </c>
      <c r="HX47" s="99">
        <v>21.010857410881801</v>
      </c>
      <c r="HY47" s="99">
        <v>21.071502814258899</v>
      </c>
      <c r="HZ47" s="99">
        <v>21.132148217636001</v>
      </c>
      <c r="IA47" s="99">
        <v>21.192793621013099</v>
      </c>
      <c r="IB47" s="99">
        <v>21.2534390243902</v>
      </c>
      <c r="IC47" s="99">
        <v>21.314084427767298</v>
      </c>
      <c r="ID47" s="99">
        <v>21.3747298311444</v>
      </c>
      <c r="IE47" s="99">
        <v>21.435375234521501</v>
      </c>
      <c r="IF47" s="99">
        <v>21.496020637898599</v>
      </c>
      <c r="IG47" s="99">
        <v>21.5566660412758</v>
      </c>
      <c r="IH47" s="99">
        <v>21.617311444652898</v>
      </c>
      <c r="II47" s="99">
        <v>21.67795684803</v>
      </c>
      <c r="IJ47" s="99">
        <v>21.738602251407102</v>
      </c>
      <c r="IK47" s="99">
        <v>21.7992476547842</v>
      </c>
      <c r="IL47" s="99">
        <v>21.859893058161301</v>
      </c>
      <c r="IM47" s="99">
        <v>21.920538461538399</v>
      </c>
      <c r="IN47" s="99">
        <v>21.981183864915501</v>
      </c>
      <c r="IO47" s="99">
        <v>22.041829268292599</v>
      </c>
      <c r="IP47" s="99">
        <v>22.1024746716698</v>
      </c>
      <c r="IQ47" s="99">
        <v>22.163120075046901</v>
      </c>
      <c r="IR47" s="99">
        <v>22.223765478423999</v>
      </c>
      <c r="IS47" s="99">
        <v>22.284410881801101</v>
      </c>
      <c r="IT47" s="99">
        <v>22.345056285178199</v>
      </c>
      <c r="IU47" s="99">
        <v>22.4057016885553</v>
      </c>
      <c r="IV47" s="99">
        <v>22.466347091932398</v>
      </c>
      <c r="IW47" s="99">
        <v>22.5269924953095</v>
      </c>
      <c r="IX47" s="99">
        <v>22.587637898686602</v>
      </c>
      <c r="IY47" s="99">
        <v>22.6482833020637</v>
      </c>
      <c r="IZ47" s="99">
        <v>22.708928705440901</v>
      </c>
      <c r="JA47" s="99">
        <v>22.769574108817999</v>
      </c>
      <c r="JB47" s="99">
        <v>22.8302195121951</v>
      </c>
      <c r="JC47" s="99">
        <v>22.890864915572202</v>
      </c>
      <c r="JD47" s="99">
        <v>22.9515103189493</v>
      </c>
      <c r="JE47" s="99">
        <v>23.012155722326401</v>
      </c>
      <c r="JF47" s="99">
        <v>23.072801125703499</v>
      </c>
      <c r="JG47" s="99">
        <v>23.133446529080601</v>
      </c>
      <c r="JH47" s="99">
        <v>23.194091932457699</v>
      </c>
      <c r="JI47" s="99">
        <v>23.2547373358349</v>
      </c>
      <c r="JJ47" s="99">
        <v>23.315382739212001</v>
      </c>
      <c r="JK47" s="99">
        <v>23.376028142589099</v>
      </c>
      <c r="JL47" s="99">
        <v>23.436673545966201</v>
      </c>
      <c r="JM47" s="99">
        <v>23.497318949343299</v>
      </c>
      <c r="JN47" s="99">
        <v>23.557964352720401</v>
      </c>
      <c r="JO47" s="99">
        <v>23.618609756097499</v>
      </c>
      <c r="JP47" s="99">
        <v>23.6792551594746</v>
      </c>
      <c r="JQ47" s="99">
        <v>23.739900562851702</v>
      </c>
      <c r="JR47" s="99">
        <v>23.800545966228899</v>
      </c>
      <c r="JS47" s="99">
        <v>23.861191369606001</v>
      </c>
      <c r="JT47" s="99">
        <v>23.921836772983099</v>
      </c>
      <c r="JU47" s="99">
        <v>23.9824821763602</v>
      </c>
      <c r="JV47" s="99">
        <v>24.043127579737298</v>
      </c>
      <c r="JW47" s="99">
        <v>24.1037729831144</v>
      </c>
      <c r="JX47" s="99">
        <v>24.164418386491501</v>
      </c>
      <c r="JY47" s="99">
        <v>24.225063789868599</v>
      </c>
      <c r="JZ47" s="99">
        <v>24.285709193245701</v>
      </c>
      <c r="KA47" s="99">
        <v>24.346354596622799</v>
      </c>
      <c r="KB47" s="99">
        <v>24.407</v>
      </c>
      <c r="KC47" s="99">
        <v>24.467645403377102</v>
      </c>
      <c r="KD47" s="99">
        <v>24.5282908067542</v>
      </c>
      <c r="KE47" s="99">
        <v>24.588936210131301</v>
      </c>
      <c r="KF47" s="99">
        <v>24.649581613508399</v>
      </c>
      <c r="KG47" s="99">
        <v>24.710227016885501</v>
      </c>
      <c r="KH47" s="99">
        <v>24.770872420262599</v>
      </c>
      <c r="KI47" s="99">
        <v>24.8315178236397</v>
      </c>
      <c r="KJ47" s="99">
        <v>24.892163227016798</v>
      </c>
      <c r="KK47" s="99">
        <v>24.952808630393999</v>
      </c>
      <c r="KL47" s="99">
        <v>25.013454033771101</v>
      </c>
      <c r="KM47" s="99">
        <v>25.074099437148199</v>
      </c>
      <c r="KN47" s="99">
        <v>25.1347448405253</v>
      </c>
      <c r="KO47" s="99">
        <v>25.195390243902398</v>
      </c>
      <c r="KP47" s="99">
        <v>25.2560356472795</v>
      </c>
      <c r="KQ47" s="99">
        <v>25.316681050656602</v>
      </c>
      <c r="KR47" s="99">
        <v>25.3773264540337</v>
      </c>
      <c r="KS47" s="99">
        <v>25.437971857410801</v>
      </c>
      <c r="KT47" s="99">
        <v>25.498617260787999</v>
      </c>
      <c r="KU47" s="99">
        <v>25.5592626641651</v>
      </c>
      <c r="KV47" s="99">
        <v>25.619908067542202</v>
      </c>
      <c r="KW47" s="99">
        <v>25.6805534709193</v>
      </c>
      <c r="KX47" s="99">
        <v>25.741198874296401</v>
      </c>
      <c r="KY47" s="99">
        <v>25.801844277673499</v>
      </c>
      <c r="KZ47" s="99">
        <v>25.862489681050601</v>
      </c>
      <c r="LA47" s="99">
        <v>25.923135084427699</v>
      </c>
      <c r="LB47" s="99">
        <v>25.9837804878048</v>
      </c>
      <c r="LC47" s="99">
        <v>26.044425891181898</v>
      </c>
      <c r="LD47" s="99">
        <v>26.105071294559099</v>
      </c>
      <c r="LE47" s="99">
        <v>26.165716697936201</v>
      </c>
      <c r="LF47" s="99">
        <v>26.226362101313299</v>
      </c>
      <c r="LG47" s="99">
        <v>26.287007504690401</v>
      </c>
      <c r="LH47" s="99">
        <v>26.347652908067499</v>
      </c>
      <c r="LI47" s="99">
        <v>26.4082983114446</v>
      </c>
      <c r="LJ47" s="99">
        <v>26.468943714821702</v>
      </c>
      <c r="LK47" s="99">
        <v>26.5295891181988</v>
      </c>
      <c r="LL47" s="99">
        <v>26.590234521575901</v>
      </c>
      <c r="LM47" s="99">
        <v>26.650879924953099</v>
      </c>
      <c r="LN47" s="99">
        <v>26.7115253283302</v>
      </c>
      <c r="LO47" s="99">
        <v>26.772170731707298</v>
      </c>
      <c r="LP47" s="99">
        <v>26.8328161350844</v>
      </c>
      <c r="LQ47" s="99">
        <v>26.893461538461501</v>
      </c>
      <c r="LR47" s="99">
        <v>26.954106941838599</v>
      </c>
      <c r="LS47" s="99">
        <v>27.014752345215701</v>
      </c>
      <c r="LT47" s="99">
        <v>27.075397748592799</v>
      </c>
      <c r="LU47" s="99">
        <v>27.136043151969901</v>
      </c>
      <c r="LV47" s="99">
        <v>27.196688555347102</v>
      </c>
      <c r="LW47" s="99">
        <v>27.2573339587242</v>
      </c>
      <c r="LX47" s="99">
        <v>27.317979362101301</v>
      </c>
      <c r="LY47" s="99">
        <v>27.378624765478399</v>
      </c>
      <c r="LZ47" s="99">
        <v>27.439270168855501</v>
      </c>
      <c r="MA47" s="99">
        <v>27.499915572232599</v>
      </c>
      <c r="MB47" s="99">
        <v>27.5605609756097</v>
      </c>
      <c r="MC47" s="99">
        <v>27.621206378986798</v>
      </c>
      <c r="MD47" s="99">
        <v>27.6818517823639</v>
      </c>
      <c r="ME47" s="99">
        <v>27.742497185741001</v>
      </c>
      <c r="MF47" s="99">
        <v>27.803142589118199</v>
      </c>
      <c r="MG47" s="99">
        <v>27.8637879924953</v>
      </c>
      <c r="MH47" s="99">
        <v>27.924433395872398</v>
      </c>
      <c r="MI47" s="99">
        <v>27.9850787992495</v>
      </c>
      <c r="MJ47" s="99">
        <v>28.045724202626602</v>
      </c>
      <c r="MK47" s="99">
        <v>28.1063696060037</v>
      </c>
      <c r="ML47" s="99">
        <v>28.167015009380801</v>
      </c>
      <c r="MM47" s="99">
        <v>28.227660412757899</v>
      </c>
      <c r="MN47" s="99">
        <v>28.288305816135001</v>
      </c>
      <c r="MO47" s="99">
        <v>28.348951219512202</v>
      </c>
      <c r="MP47" s="99">
        <v>28.4095966228893</v>
      </c>
      <c r="MQ47" s="99">
        <v>28.470242026266401</v>
      </c>
      <c r="MR47" s="99">
        <v>28.530887429643499</v>
      </c>
      <c r="MS47" s="99">
        <v>28.591532833020601</v>
      </c>
      <c r="MT47" s="99">
        <v>28.652178236397699</v>
      </c>
      <c r="MU47" s="99">
        <v>28.7128236397748</v>
      </c>
      <c r="MV47" s="99">
        <v>28.773469043151898</v>
      </c>
      <c r="MW47" s="99">
        <v>28.834114446529</v>
      </c>
      <c r="MX47" s="99">
        <v>28.894759849906201</v>
      </c>
      <c r="MY47" s="99">
        <v>28.955405253283299</v>
      </c>
      <c r="MZ47" s="99">
        <v>29.016050656660401</v>
      </c>
      <c r="NA47" s="99">
        <v>29.076696060037499</v>
      </c>
      <c r="NB47" s="99">
        <v>29.1373414634146</v>
      </c>
      <c r="NC47" s="99">
        <v>29.197986866791702</v>
      </c>
      <c r="ND47" s="99">
        <v>29.2586322701688</v>
      </c>
      <c r="NE47" s="99">
        <v>29.319277673545901</v>
      </c>
      <c r="NF47" s="99">
        <v>29.379923076922999</v>
      </c>
      <c r="NG47" s="99">
        <v>29.440568480300101</v>
      </c>
      <c r="NH47" s="99">
        <v>29.501213883677298</v>
      </c>
      <c r="NI47" s="99">
        <v>29.5618592870544</v>
      </c>
      <c r="NJ47" s="99">
        <v>29.622504690431501</v>
      </c>
      <c r="NK47" s="99">
        <v>29.683150093808599</v>
      </c>
      <c r="NL47" s="99">
        <v>29.743795497185701</v>
      </c>
      <c r="NM47" s="99">
        <v>29.804440900562799</v>
      </c>
      <c r="NN47" s="99">
        <v>29.865086303939901</v>
      </c>
      <c r="NO47" s="99">
        <v>29.925731707316999</v>
      </c>
      <c r="NP47" s="99">
        <v>29.9863771106941</v>
      </c>
      <c r="NQ47" s="99">
        <v>30.047022514071301</v>
      </c>
      <c r="NR47" s="99">
        <v>30.107667917448399</v>
      </c>
      <c r="NS47" s="99">
        <v>30.168313320825501</v>
      </c>
      <c r="NT47" s="99">
        <v>30.228958724202599</v>
      </c>
      <c r="NU47" s="99">
        <v>30.2896041275797</v>
      </c>
      <c r="NV47" s="99">
        <v>30.350249530956798</v>
      </c>
      <c r="NW47" s="99">
        <v>30.4108949343339</v>
      </c>
      <c r="NX47" s="99">
        <v>30.471540337711001</v>
      </c>
      <c r="NY47" s="99">
        <v>30.532185741088099</v>
      </c>
      <c r="NZ47" s="99">
        <v>30.5928311444653</v>
      </c>
      <c r="OA47" s="99">
        <v>30.653476547842399</v>
      </c>
      <c r="OB47" s="99">
        <v>30.7141219512195</v>
      </c>
      <c r="OC47" s="99">
        <v>30.774767354596602</v>
      </c>
      <c r="OD47" s="99">
        <v>30.8354127579737</v>
      </c>
      <c r="OE47" s="99">
        <v>30.896058161350801</v>
      </c>
      <c r="OF47" s="99">
        <v>30.956703564727899</v>
      </c>
      <c r="OG47" s="99">
        <v>31.017348968105001</v>
      </c>
      <c r="OH47" s="99">
        <v>31.077994371482099</v>
      </c>
      <c r="OI47" s="99">
        <v>31.1386397748592</v>
      </c>
      <c r="OJ47" s="99">
        <v>31.199285178236401</v>
      </c>
      <c r="OK47" s="99">
        <v>31.259930581613499</v>
      </c>
      <c r="OL47" s="99">
        <v>31.320575984990601</v>
      </c>
      <c r="OM47" s="99">
        <v>31.381221388367699</v>
      </c>
      <c r="ON47" s="99">
        <v>31.4418667917448</v>
      </c>
      <c r="OO47" s="99">
        <v>31.502512195121898</v>
      </c>
      <c r="OP47" s="99">
        <v>31.563157598499</v>
      </c>
      <c r="OQ47" s="99">
        <v>31.623803001876102</v>
      </c>
      <c r="OR47" s="99">
        <v>31.6844484052532</v>
      </c>
      <c r="OS47" s="99">
        <v>31.745093808630401</v>
      </c>
      <c r="OT47" s="99">
        <v>31.805739212007499</v>
      </c>
      <c r="OU47" s="99">
        <v>31.8663846153846</v>
      </c>
      <c r="OV47" s="99">
        <v>31.927030018761702</v>
      </c>
      <c r="OW47" s="99">
        <v>31.9876754221388</v>
      </c>
      <c r="OX47" s="99">
        <v>32.048320825515901</v>
      </c>
      <c r="OY47" s="99">
        <v>32.108966228893003</v>
      </c>
      <c r="OZ47" s="99">
        <v>32.169611632270097</v>
      </c>
      <c r="PA47" s="99">
        <v>32.230257035647199</v>
      </c>
      <c r="PB47" s="99">
        <v>32.2909024390243</v>
      </c>
      <c r="PC47" s="99">
        <v>32.351547842401501</v>
      </c>
      <c r="PD47" s="99">
        <v>32.412193245778603</v>
      </c>
      <c r="PE47" s="99">
        <v>32.472838649155698</v>
      </c>
      <c r="PF47" s="99">
        <v>32.533484052532799</v>
      </c>
      <c r="PG47" s="99">
        <v>32.594129455909901</v>
      </c>
      <c r="PH47" s="99">
        <v>32.654774859287002</v>
      </c>
      <c r="PI47" s="99">
        <v>32.715420262664097</v>
      </c>
      <c r="PJ47" s="99">
        <v>32.776065666041198</v>
      </c>
      <c r="PK47" s="99">
        <v>32.8367110694183</v>
      </c>
      <c r="PL47" s="99">
        <v>32.897356472795501</v>
      </c>
      <c r="PM47" s="99">
        <v>32.958001876172602</v>
      </c>
      <c r="PN47" s="99">
        <v>33.018647279549697</v>
      </c>
      <c r="PO47" s="99">
        <v>33.079292682926798</v>
      </c>
      <c r="PP47" s="99">
        <v>33.1399380863039</v>
      </c>
      <c r="PQ47" s="99">
        <v>33.200583489681001</v>
      </c>
      <c r="PR47" s="99">
        <v>33.261228893058103</v>
      </c>
      <c r="PS47" s="99">
        <v>33.321874296435197</v>
      </c>
      <c r="PT47" s="99">
        <v>33.382519699812299</v>
      </c>
      <c r="PU47" s="99">
        <v>33.4431651031895</v>
      </c>
      <c r="PV47" s="99">
        <v>33.503810506566602</v>
      </c>
      <c r="PW47" s="99">
        <v>33.564455909943703</v>
      </c>
      <c r="PX47" s="99">
        <v>33.625101313320798</v>
      </c>
      <c r="PY47" s="99">
        <v>33.685746716697899</v>
      </c>
      <c r="PZ47" s="99">
        <v>33.746392120075001</v>
      </c>
      <c r="QA47" s="99">
        <v>33.807037523452102</v>
      </c>
      <c r="QB47" s="99">
        <v>33.867682926829197</v>
      </c>
      <c r="QC47" s="99">
        <v>33.928328330206298</v>
      </c>
      <c r="QD47" s="99">
        <v>33.9889737335834</v>
      </c>
      <c r="QE47" s="99">
        <v>34.049619136960601</v>
      </c>
      <c r="QF47" s="99">
        <v>34.110264540337702</v>
      </c>
      <c r="QG47" s="99">
        <v>34.170909943714797</v>
      </c>
      <c r="QH47" s="99">
        <v>34.231555347091899</v>
      </c>
      <c r="QI47" s="99">
        <v>34.292200750469</v>
      </c>
      <c r="QJ47" s="99">
        <v>34.352846153846102</v>
      </c>
      <c r="QK47" s="99">
        <v>34.413491557223203</v>
      </c>
      <c r="QL47" s="99">
        <v>34.474136960600298</v>
      </c>
      <c r="QM47" s="99">
        <v>34.534782363977399</v>
      </c>
      <c r="QN47" s="99">
        <v>34.5954277673546</v>
      </c>
      <c r="QO47" s="99">
        <v>34.656073170731702</v>
      </c>
      <c r="QP47" s="99">
        <v>34.716718574108803</v>
      </c>
      <c r="QQ47" s="99">
        <v>34.777363977485898</v>
      </c>
      <c r="QR47" s="99">
        <v>34.838009380862999</v>
      </c>
      <c r="QS47" s="99">
        <v>34.898654784240101</v>
      </c>
      <c r="QT47" s="99">
        <v>34.959300187617202</v>
      </c>
      <c r="QU47" s="99">
        <v>35.019945590994297</v>
      </c>
      <c r="QV47" s="99">
        <v>35.080590994371398</v>
      </c>
      <c r="QW47" s="99">
        <v>35.1412363977486</v>
      </c>
      <c r="QX47" s="99">
        <v>35.201881801125701</v>
      </c>
      <c r="QY47" s="99">
        <v>35.262527204502803</v>
      </c>
      <c r="QZ47" s="99">
        <v>35.323172607879897</v>
      </c>
      <c r="RA47" s="99">
        <v>35.383818011256999</v>
      </c>
      <c r="RB47" s="99">
        <v>35.4444634146341</v>
      </c>
      <c r="RC47" s="99">
        <v>35.505108818011202</v>
      </c>
      <c r="RD47" s="99">
        <v>35.565754221388303</v>
      </c>
      <c r="RE47" s="99">
        <v>35.626399624765398</v>
      </c>
      <c r="RF47" s="99">
        <v>35.687045028142499</v>
      </c>
      <c r="RG47" s="99">
        <v>35.7476904315197</v>
      </c>
      <c r="RH47" s="99">
        <v>35.808335834896802</v>
      </c>
      <c r="RI47" s="99">
        <v>35.868981238273904</v>
      </c>
      <c r="RJ47" s="99">
        <v>35.929626641650998</v>
      </c>
      <c r="RK47" s="99">
        <v>35.9902720450281</v>
      </c>
      <c r="RL47" s="99">
        <v>36.050917448405201</v>
      </c>
      <c r="RM47" s="99">
        <v>36.111562851782303</v>
      </c>
      <c r="RN47" s="99">
        <v>36.172208255159397</v>
      </c>
      <c r="RO47" s="99">
        <v>36.232853658536499</v>
      </c>
      <c r="RP47" s="99">
        <v>36.2934990619137</v>
      </c>
      <c r="RQ47" s="99">
        <v>36.354144465290801</v>
      </c>
      <c r="RR47" s="99">
        <v>36.414789868667903</v>
      </c>
      <c r="RS47" s="99">
        <v>36.475435272044997</v>
      </c>
      <c r="RT47" s="99">
        <v>36.536080675422099</v>
      </c>
      <c r="RU47" s="99">
        <v>36.5967260787992</v>
      </c>
      <c r="RV47" s="99">
        <v>36.657371482176302</v>
      </c>
      <c r="RW47" s="99">
        <v>36.718016885553403</v>
      </c>
      <c r="RX47" s="99">
        <v>36.778662288930498</v>
      </c>
      <c r="RY47" s="99">
        <v>36.839307692307699</v>
      </c>
      <c r="RZ47" s="99">
        <v>36.899953095684801</v>
      </c>
      <c r="SA47" s="99">
        <v>36.960598499061902</v>
      </c>
      <c r="SB47" s="99">
        <v>37.021243902438997</v>
      </c>
      <c r="SC47" s="99">
        <v>37.081889305816098</v>
      </c>
      <c r="SD47" s="99">
        <v>37.1425347091932</v>
      </c>
      <c r="SE47" s="99">
        <v>37.203180112570301</v>
      </c>
      <c r="SF47" s="99">
        <v>37.263825515947403</v>
      </c>
      <c r="SG47" s="99">
        <v>37.324470919324497</v>
      </c>
      <c r="SH47" s="99">
        <v>37.385116322701599</v>
      </c>
      <c r="SI47" s="99">
        <v>37.4457617260788</v>
      </c>
      <c r="SJ47" s="99">
        <v>37.506407129455901</v>
      </c>
      <c r="SK47" s="99">
        <v>37.567052532833003</v>
      </c>
      <c r="SL47" s="99">
        <v>37.627697936210097</v>
      </c>
      <c r="SM47" s="99">
        <v>37.688343339587199</v>
      </c>
      <c r="SN47" s="99">
        <v>37.748988742964301</v>
      </c>
      <c r="SO47" s="99">
        <v>37.809634146341402</v>
      </c>
      <c r="SP47" s="99">
        <v>37.870279549718497</v>
      </c>
      <c r="SQ47" s="99">
        <v>37.930924953095598</v>
      </c>
      <c r="SR47" s="99">
        <v>37.991570356472799</v>
      </c>
      <c r="SS47" s="99">
        <v>38.052215759849901</v>
      </c>
      <c r="ST47" s="99">
        <v>38.112861163227002</v>
      </c>
      <c r="SU47" s="99">
        <v>38.173506566604097</v>
      </c>
      <c r="SV47" s="99">
        <v>38.234151969981198</v>
      </c>
      <c r="SW47" s="99">
        <v>38.2947973733583</v>
      </c>
      <c r="SX47" s="99">
        <v>38.355442776735401</v>
      </c>
      <c r="SY47" s="99">
        <v>38.416088180112503</v>
      </c>
      <c r="SZ47" s="99">
        <v>38.476733583489597</v>
      </c>
      <c r="TA47" s="99">
        <v>38.537378986866798</v>
      </c>
      <c r="TB47" s="99">
        <v>38.5980243902439</v>
      </c>
      <c r="TC47" s="99">
        <v>38.658669793621002</v>
      </c>
      <c r="TD47" s="99">
        <v>38.719315196998103</v>
      </c>
      <c r="TE47" s="99">
        <v>38.779960600375198</v>
      </c>
      <c r="TF47" s="99">
        <v>38.840606003752299</v>
      </c>
      <c r="TG47" s="99">
        <v>38.901251407129401</v>
      </c>
      <c r="TH47" s="99">
        <v>38.961896810506502</v>
      </c>
      <c r="TI47" s="99">
        <v>39.022542213883597</v>
      </c>
      <c r="TJ47" s="99">
        <v>39.083187617260698</v>
      </c>
      <c r="TK47" s="99">
        <v>39.143833020637899</v>
      </c>
      <c r="TL47" s="99">
        <v>39.204478424015001</v>
      </c>
      <c r="TM47" s="99">
        <v>39.265123827392102</v>
      </c>
      <c r="TN47" s="99">
        <v>39.325769230769197</v>
      </c>
      <c r="TO47" s="99">
        <v>39.386414634146298</v>
      </c>
      <c r="TP47" s="99">
        <v>39.4470600375234</v>
      </c>
      <c r="TQ47" s="99">
        <v>39.507705440900502</v>
      </c>
      <c r="TR47" s="99">
        <v>39.568350844277603</v>
      </c>
      <c r="TS47" s="99">
        <v>39.628996247654698</v>
      </c>
      <c r="TT47" s="99">
        <v>39.689641651031899</v>
      </c>
      <c r="TU47" s="99">
        <v>39.750287054409</v>
      </c>
      <c r="TV47" s="99">
        <v>39.810932457786102</v>
      </c>
      <c r="TW47" s="99">
        <v>39.871577861163203</v>
      </c>
      <c r="TX47" s="99">
        <v>39.932223264540298</v>
      </c>
      <c r="TY47" s="99">
        <v>39.992868667917399</v>
      </c>
      <c r="TZ47" s="99">
        <v>40.053514071294501</v>
      </c>
      <c r="UA47" s="99">
        <v>40.114159474671602</v>
      </c>
      <c r="UB47" s="99">
        <v>40.174804878048697</v>
      </c>
      <c r="UC47" s="99">
        <v>40.235450281425898</v>
      </c>
      <c r="UD47" s="99">
        <v>40.296095684802999</v>
      </c>
      <c r="UE47" s="99">
        <v>40.356741088180101</v>
      </c>
      <c r="UF47" s="99">
        <v>40.417386491557203</v>
      </c>
      <c r="UG47" s="99">
        <v>40.478031894934297</v>
      </c>
      <c r="UH47" s="99">
        <v>40.538677298311399</v>
      </c>
      <c r="UI47" s="99">
        <v>40.5993227016885</v>
      </c>
      <c r="UJ47" s="99">
        <v>40.659968105065602</v>
      </c>
      <c r="UK47" s="99">
        <v>40.720613508442703</v>
      </c>
      <c r="UL47" s="99">
        <v>40.781258911819798</v>
      </c>
      <c r="UM47" s="99">
        <v>40.841904315196999</v>
      </c>
      <c r="UN47" s="99">
        <v>40.9025497185741</v>
      </c>
      <c r="UO47" s="99">
        <v>40.963195121951202</v>
      </c>
      <c r="UP47" s="99">
        <v>41.023840525328303</v>
      </c>
      <c r="UQ47" s="99">
        <v>41.084485928705398</v>
      </c>
      <c r="UR47" s="99">
        <v>41.145131332082499</v>
      </c>
      <c r="US47" s="99">
        <v>41.2057767354597</v>
      </c>
      <c r="UT47" s="99">
        <v>41.266422138836802</v>
      </c>
    </row>
    <row r="48" spans="1:566" x14ac:dyDescent="0.2">
      <c r="A48" s="89">
        <v>21</v>
      </c>
      <c r="B48" s="90">
        <v>6.99</v>
      </c>
      <c r="C48" s="90">
        <v>7.05</v>
      </c>
      <c r="D48" s="90">
        <v>7.11</v>
      </c>
      <c r="E48" s="90">
        <v>7.17</v>
      </c>
      <c r="F48" s="90">
        <v>7.23</v>
      </c>
      <c r="G48" s="90">
        <v>7.29</v>
      </c>
      <c r="H48" s="90">
        <v>7.35</v>
      </c>
      <c r="I48" s="90">
        <v>7.41</v>
      </c>
      <c r="J48" s="90">
        <v>7.47</v>
      </c>
      <c r="K48" s="90">
        <v>7.53</v>
      </c>
      <c r="L48" s="90">
        <v>7.59</v>
      </c>
      <c r="M48" s="90">
        <v>7.65</v>
      </c>
      <c r="N48" s="90">
        <v>7.71</v>
      </c>
      <c r="O48" s="90">
        <v>7.77</v>
      </c>
      <c r="P48" s="90">
        <v>7.83</v>
      </c>
      <c r="Q48" s="90">
        <v>7.89</v>
      </c>
      <c r="R48" s="90">
        <v>7.95</v>
      </c>
      <c r="S48" s="90">
        <v>8.01</v>
      </c>
      <c r="T48" s="90">
        <v>8.07</v>
      </c>
      <c r="U48" s="91">
        <v>8.1300000000000008</v>
      </c>
      <c r="V48" s="90">
        <v>8.19</v>
      </c>
      <c r="W48" s="90">
        <v>8.25</v>
      </c>
      <c r="X48" s="90">
        <v>8.31</v>
      </c>
      <c r="Y48" s="90">
        <v>8.3699999999999992</v>
      </c>
      <c r="Z48" s="90">
        <v>8.43</v>
      </c>
      <c r="AA48" s="90">
        <v>8.49</v>
      </c>
      <c r="AB48" s="90">
        <v>8.5500000000000007</v>
      </c>
      <c r="AC48" s="90">
        <v>8.61</v>
      </c>
      <c r="AD48" s="90">
        <v>8.67</v>
      </c>
      <c r="AE48" s="90">
        <v>8.73</v>
      </c>
      <c r="AF48" s="90">
        <v>8.7899999999999991</v>
      </c>
      <c r="AG48" s="90">
        <v>8.85</v>
      </c>
      <c r="AH48" s="90">
        <v>8.92</v>
      </c>
      <c r="AI48" s="90">
        <v>8.98</v>
      </c>
      <c r="AJ48" s="90">
        <v>9.0399999999999991</v>
      </c>
      <c r="AK48" s="90">
        <v>9.1</v>
      </c>
      <c r="AL48" s="90">
        <v>9.16</v>
      </c>
      <c r="AM48" s="90">
        <v>9.2200000000000006</v>
      </c>
      <c r="AN48" s="90">
        <v>9.2799999999999994</v>
      </c>
      <c r="AO48" s="91">
        <v>9.34</v>
      </c>
      <c r="AP48" s="90">
        <v>9.3969230769230805</v>
      </c>
      <c r="AQ48" s="90">
        <v>9.4571632270168795</v>
      </c>
      <c r="AR48" s="90">
        <v>9.5174033771106892</v>
      </c>
      <c r="AS48" s="90">
        <v>9.5776435272045006</v>
      </c>
      <c r="AT48" s="90">
        <v>9.6378836772983103</v>
      </c>
      <c r="AU48" s="90">
        <v>9.69812382739212</v>
      </c>
      <c r="AV48" s="90">
        <v>9.7583639774859297</v>
      </c>
      <c r="AW48" s="90">
        <v>9.8186041275797393</v>
      </c>
      <c r="AX48" s="90">
        <v>9.8788442776735401</v>
      </c>
      <c r="AY48" s="90">
        <v>9.9390844277673605</v>
      </c>
      <c r="AZ48" s="90">
        <v>9.9993245778611595</v>
      </c>
      <c r="BA48" s="90">
        <v>10.059564727954999</v>
      </c>
      <c r="BB48" s="90">
        <v>10.1198048780488</v>
      </c>
      <c r="BC48" s="90">
        <v>10.180045028142599</v>
      </c>
      <c r="BD48" s="90">
        <v>10.2402851782364</v>
      </c>
      <c r="BE48" s="90">
        <v>10.300525328330201</v>
      </c>
      <c r="BF48" s="90">
        <v>10.360765478424</v>
      </c>
      <c r="BG48" s="90">
        <v>10.421005628517801</v>
      </c>
      <c r="BH48" s="90">
        <v>10.4812457786116</v>
      </c>
      <c r="BI48" s="91">
        <v>10.5414859287054</v>
      </c>
      <c r="BJ48" s="90">
        <v>10.601726078799301</v>
      </c>
      <c r="BK48" s="99">
        <v>10.6619662288931</v>
      </c>
      <c r="BL48" s="99">
        <v>10.7222063789869</v>
      </c>
      <c r="BM48" s="99">
        <v>10.782446529080699</v>
      </c>
      <c r="BN48" s="99">
        <v>10.8426866791745</v>
      </c>
      <c r="BO48" s="99">
        <v>10.902926829268299</v>
      </c>
      <c r="BP48" s="99">
        <v>10.9631669793621</v>
      </c>
      <c r="BQ48" s="99">
        <v>11.023407129455901</v>
      </c>
      <c r="BR48" s="99">
        <v>11.0836472795497</v>
      </c>
      <c r="BS48" s="99">
        <v>11.143887429643501</v>
      </c>
      <c r="BT48" s="99">
        <v>11.2041275797373</v>
      </c>
      <c r="BU48" s="99">
        <v>11.2643677298311</v>
      </c>
      <c r="BV48" s="99">
        <v>11.324607879925001</v>
      </c>
      <c r="BW48" s="99">
        <v>11.3848480300188</v>
      </c>
      <c r="BX48" s="99">
        <v>11.445088180112601</v>
      </c>
      <c r="BY48" s="99">
        <v>11.5053283302064</v>
      </c>
      <c r="BZ48" s="99">
        <v>11.5655684803002</v>
      </c>
      <c r="CA48" s="99">
        <v>11.625808630393999</v>
      </c>
      <c r="CB48" s="99">
        <v>11.6860487804878</v>
      </c>
      <c r="CC48" s="99">
        <v>11.746288930581599</v>
      </c>
      <c r="CD48" s="99">
        <v>11.8065290806754</v>
      </c>
      <c r="CE48" s="99">
        <v>11.866769230769201</v>
      </c>
      <c r="CF48" s="99">
        <v>11.927009380863</v>
      </c>
      <c r="CG48" s="99">
        <v>11.9872495309569</v>
      </c>
      <c r="CH48" s="99">
        <v>12.047489681050701</v>
      </c>
      <c r="CI48" s="99">
        <v>12.1077298311445</v>
      </c>
      <c r="CJ48" s="99">
        <v>12.167969981238301</v>
      </c>
      <c r="CK48" s="99">
        <v>12.2282101313321</v>
      </c>
      <c r="CL48" s="99">
        <v>12.2884502814259</v>
      </c>
      <c r="CM48" s="99">
        <v>12.348690431519699</v>
      </c>
      <c r="CN48" s="99">
        <v>12.4089305816135</v>
      </c>
      <c r="CO48" s="99">
        <v>12.469170731707299</v>
      </c>
      <c r="CP48" s="99">
        <v>12.5294108818011</v>
      </c>
      <c r="CQ48" s="99">
        <v>12.589651031894901</v>
      </c>
      <c r="CR48" s="99">
        <v>12.6498911819887</v>
      </c>
      <c r="CS48" s="99">
        <v>12.7101313320826</v>
      </c>
      <c r="CT48" s="99">
        <v>12.770371482176399</v>
      </c>
      <c r="CU48" s="99">
        <v>12.8306116322702</v>
      </c>
      <c r="CV48" s="99">
        <v>12.890851782364001</v>
      </c>
      <c r="CW48" s="99">
        <v>12.9510919324578</v>
      </c>
      <c r="CX48" s="99">
        <v>13.011332082551601</v>
      </c>
      <c r="CY48" s="99">
        <v>13.0715722326454</v>
      </c>
      <c r="CZ48" s="99">
        <v>13.1318123827392</v>
      </c>
      <c r="DA48" s="99">
        <v>13.192052532832999</v>
      </c>
      <c r="DB48" s="99">
        <v>13.2522926829268</v>
      </c>
      <c r="DC48" s="99">
        <v>13.312532833020599</v>
      </c>
      <c r="DD48" s="99">
        <v>13.3727729831144</v>
      </c>
      <c r="DE48" s="99">
        <v>13.4330131332083</v>
      </c>
      <c r="DF48" s="99">
        <v>13.493253283302099</v>
      </c>
      <c r="DG48" s="99">
        <v>13.5534934333959</v>
      </c>
      <c r="DH48" s="99">
        <v>13.613733583489701</v>
      </c>
      <c r="DI48" s="99">
        <v>13.6739737335835</v>
      </c>
      <c r="DJ48" s="99">
        <v>13.734213883677301</v>
      </c>
      <c r="DK48" s="99">
        <v>13.7944540337711</v>
      </c>
      <c r="DL48" s="99">
        <v>13.8546941838649</v>
      </c>
      <c r="DM48" s="99">
        <v>13.914934333958699</v>
      </c>
      <c r="DN48" s="99">
        <v>13.9751744840525</v>
      </c>
      <c r="DO48" s="99">
        <v>14.035414634146299</v>
      </c>
      <c r="DP48" s="99">
        <v>14.0956547842402</v>
      </c>
      <c r="DQ48" s="99">
        <v>14.155894934334</v>
      </c>
      <c r="DR48" s="99">
        <v>14.216135084427799</v>
      </c>
      <c r="DS48" s="99">
        <v>14.2763752345216</v>
      </c>
      <c r="DT48" s="99">
        <v>14.336615384615399</v>
      </c>
      <c r="DU48" s="99">
        <v>14.3968555347092</v>
      </c>
      <c r="DV48" s="99">
        <v>14.457095684803001</v>
      </c>
      <c r="DW48" s="99">
        <v>14.5173358348968</v>
      </c>
      <c r="DX48" s="99">
        <v>14.577575984990601</v>
      </c>
      <c r="DY48" s="99">
        <v>14.6378161350844</v>
      </c>
      <c r="DZ48" s="99">
        <v>14.6980562851782</v>
      </c>
      <c r="EA48" s="99">
        <v>14.758296435271999</v>
      </c>
      <c r="EB48" s="99">
        <v>14.8185365853659</v>
      </c>
      <c r="EC48" s="99">
        <v>14.8787767354597</v>
      </c>
      <c r="ED48" s="99">
        <v>14.939016885553499</v>
      </c>
      <c r="EE48" s="99">
        <v>14.9992570356473</v>
      </c>
      <c r="EF48" s="99">
        <v>15.059497185741099</v>
      </c>
      <c r="EG48" s="99">
        <v>15.1197373358349</v>
      </c>
      <c r="EH48" s="99">
        <v>15.179977485928701</v>
      </c>
      <c r="EI48" s="99">
        <v>15.2402176360225</v>
      </c>
      <c r="EJ48" s="99">
        <v>15.300457786116301</v>
      </c>
      <c r="EK48" s="99">
        <v>15.3606979362101</v>
      </c>
      <c r="EL48" s="99">
        <v>15.420938086303901</v>
      </c>
      <c r="EM48" s="99">
        <v>15.481178236397801</v>
      </c>
      <c r="EN48" s="99">
        <v>15.5414183864916</v>
      </c>
      <c r="EO48" s="99">
        <v>15.601658536585401</v>
      </c>
      <c r="EP48" s="99">
        <v>15.6618986866792</v>
      </c>
      <c r="EQ48" s="99">
        <v>15.722138836773</v>
      </c>
      <c r="ER48" s="99">
        <v>15.782378986866799</v>
      </c>
      <c r="ES48" s="99">
        <v>15.8426191369606</v>
      </c>
      <c r="ET48" s="99">
        <v>15.902859287054399</v>
      </c>
      <c r="EU48" s="99">
        <v>15.9630994371482</v>
      </c>
      <c r="EV48" s="99">
        <v>16.023339587241999</v>
      </c>
      <c r="EW48" s="99">
        <v>16.0835797373358</v>
      </c>
      <c r="EX48" s="99">
        <v>16.143819887429601</v>
      </c>
      <c r="EY48" s="99">
        <v>16.204060037523501</v>
      </c>
      <c r="EZ48" s="99">
        <v>16.264300187617302</v>
      </c>
      <c r="FA48" s="99">
        <v>16.324540337711099</v>
      </c>
      <c r="FB48" s="99">
        <v>16.3847804878049</v>
      </c>
      <c r="FC48" s="99">
        <v>16.4450206378987</v>
      </c>
      <c r="FD48" s="99">
        <v>16.505260787992501</v>
      </c>
      <c r="FE48" s="99">
        <v>16.565500938086299</v>
      </c>
      <c r="FF48" s="99">
        <v>16.625741088180099</v>
      </c>
      <c r="FG48" s="99">
        <v>16.6859812382739</v>
      </c>
      <c r="FH48" s="99">
        <v>16.746221388367701</v>
      </c>
      <c r="FI48" s="99">
        <v>16.806461538461502</v>
      </c>
      <c r="FJ48" s="99">
        <v>16.866701688555299</v>
      </c>
      <c r="FK48" s="99">
        <v>16.926941838649199</v>
      </c>
      <c r="FL48" s="99">
        <v>16.987181988743</v>
      </c>
      <c r="FM48" s="99">
        <v>17.047422138836701</v>
      </c>
      <c r="FN48" s="99">
        <v>17.107662288930499</v>
      </c>
      <c r="FO48" s="99">
        <v>17.167902439024399</v>
      </c>
      <c r="FP48" s="99">
        <v>17.2281425891182</v>
      </c>
      <c r="FQ48" s="99">
        <v>17.288382739212</v>
      </c>
      <c r="FR48" s="99">
        <v>17.348622889305801</v>
      </c>
      <c r="FS48" s="99">
        <v>17.408863039399598</v>
      </c>
      <c r="FT48" s="99">
        <v>17.469103189493399</v>
      </c>
      <c r="FU48" s="99">
        <v>17.5293433395872</v>
      </c>
      <c r="FV48" s="99">
        <v>17.589583489681001</v>
      </c>
      <c r="FW48" s="99">
        <v>17.649823639774802</v>
      </c>
      <c r="FX48" s="99">
        <v>17.710063789868599</v>
      </c>
      <c r="FY48" s="99">
        <v>17.7703039399624</v>
      </c>
      <c r="FZ48" s="99">
        <v>17.8305440900563</v>
      </c>
      <c r="GA48" s="99">
        <v>17.890784240150101</v>
      </c>
      <c r="GB48" s="99">
        <v>17.951024390243902</v>
      </c>
      <c r="GC48" s="99">
        <v>18.011264540337699</v>
      </c>
      <c r="GD48" s="99">
        <v>18.0715046904315</v>
      </c>
      <c r="GE48" s="99">
        <v>18.1317448405253</v>
      </c>
      <c r="GF48" s="99">
        <v>18.191984990619101</v>
      </c>
      <c r="GG48" s="99">
        <v>18.252225140712898</v>
      </c>
      <c r="GH48" s="99">
        <v>18.312465290806699</v>
      </c>
      <c r="GI48" s="99">
        <v>18.3727054409005</v>
      </c>
      <c r="GJ48" s="99">
        <v>18.432945590994301</v>
      </c>
      <c r="GK48" s="99">
        <v>18.493185741088102</v>
      </c>
      <c r="GL48" s="99">
        <v>18.553425891181998</v>
      </c>
      <c r="GM48" s="99">
        <v>18.613666041275799</v>
      </c>
      <c r="GN48" s="99">
        <v>18.6739061913696</v>
      </c>
      <c r="GO48" s="99">
        <v>18.734146341463401</v>
      </c>
      <c r="GP48" s="99">
        <v>18.794386491557201</v>
      </c>
      <c r="GQ48" s="99">
        <v>18.854626641650999</v>
      </c>
      <c r="GR48" s="99">
        <v>18.914866791744799</v>
      </c>
      <c r="GS48" s="99">
        <v>18.9751069418386</v>
      </c>
      <c r="GT48" s="99">
        <v>19.035347091932401</v>
      </c>
      <c r="GU48" s="99">
        <v>19.095587242026198</v>
      </c>
      <c r="GV48" s="99">
        <v>19.155827392119999</v>
      </c>
      <c r="GW48" s="99">
        <v>19.216067542213899</v>
      </c>
      <c r="GX48" s="99">
        <v>19.2763076923077</v>
      </c>
      <c r="GY48" s="99">
        <v>19.336547842401501</v>
      </c>
      <c r="GZ48" s="99">
        <v>19.396787992495302</v>
      </c>
      <c r="HA48" s="99">
        <v>19.457028142589099</v>
      </c>
      <c r="HB48" s="99">
        <v>19.5172682926829</v>
      </c>
      <c r="HC48" s="99">
        <v>19.577508442776701</v>
      </c>
      <c r="HD48" s="99">
        <v>19.637748592870501</v>
      </c>
      <c r="HE48" s="99">
        <v>19.697988742964299</v>
      </c>
      <c r="HF48" s="99">
        <v>19.758228893058099</v>
      </c>
      <c r="HG48" s="99">
        <v>19.8184690431519</v>
      </c>
      <c r="HH48" s="99">
        <v>19.878709193245701</v>
      </c>
      <c r="HI48" s="99">
        <v>19.938949343339601</v>
      </c>
      <c r="HJ48" s="99">
        <v>19.999189493433398</v>
      </c>
      <c r="HK48" s="99">
        <v>20.059429643527199</v>
      </c>
      <c r="HL48" s="99">
        <v>20.119669793621</v>
      </c>
      <c r="HM48" s="99">
        <v>20.179909943714801</v>
      </c>
      <c r="HN48" s="99">
        <v>20.240150093808602</v>
      </c>
      <c r="HO48" s="99">
        <v>20.300390243902399</v>
      </c>
      <c r="HP48" s="99">
        <v>20.3606303939962</v>
      </c>
      <c r="HQ48" s="99">
        <v>20.42087054409</v>
      </c>
      <c r="HR48" s="99">
        <v>20.481110694183801</v>
      </c>
      <c r="HS48" s="99">
        <v>20.541350844277598</v>
      </c>
      <c r="HT48" s="99">
        <v>20.601590994371499</v>
      </c>
      <c r="HU48" s="99">
        <v>20.6618311444653</v>
      </c>
      <c r="HV48" s="99">
        <v>20.7220712945591</v>
      </c>
      <c r="HW48" s="99">
        <v>20.782311444652901</v>
      </c>
      <c r="HX48" s="99">
        <v>20.842551594746698</v>
      </c>
      <c r="HY48" s="99">
        <v>20.902791744840499</v>
      </c>
      <c r="HZ48" s="99">
        <v>20.9630318949343</v>
      </c>
      <c r="IA48" s="99">
        <v>21.023272045028101</v>
      </c>
      <c r="IB48" s="99">
        <v>21.083512195121902</v>
      </c>
      <c r="IC48" s="99">
        <v>21.143752345215699</v>
      </c>
      <c r="ID48" s="99">
        <v>21.2039924953095</v>
      </c>
      <c r="IE48" s="99">
        <v>21.2642326454033</v>
      </c>
      <c r="IF48" s="99">
        <v>21.324472795497201</v>
      </c>
      <c r="IG48" s="99">
        <v>21.384712945591001</v>
      </c>
      <c r="IH48" s="99">
        <v>21.444953095684799</v>
      </c>
      <c r="II48" s="99">
        <v>21.505193245778599</v>
      </c>
      <c r="IJ48" s="99">
        <v>21.5654333958724</v>
      </c>
      <c r="IK48" s="99">
        <v>21.625673545966201</v>
      </c>
      <c r="IL48" s="99">
        <v>21.685913696059998</v>
      </c>
      <c r="IM48" s="99">
        <v>21.746153846153799</v>
      </c>
      <c r="IN48" s="99">
        <v>21.8063939962476</v>
      </c>
      <c r="IO48" s="99">
        <v>21.866634146341401</v>
      </c>
      <c r="IP48" s="99">
        <v>21.926874296435201</v>
      </c>
      <c r="IQ48" s="99">
        <v>21.987114446528999</v>
      </c>
      <c r="IR48" s="99">
        <v>22.047354596622899</v>
      </c>
      <c r="IS48" s="99">
        <v>22.1075947467167</v>
      </c>
      <c r="IT48" s="99">
        <v>22.167834896810501</v>
      </c>
      <c r="IU48" s="99">
        <v>22.228075046904301</v>
      </c>
      <c r="IV48" s="99">
        <v>22.288315196998099</v>
      </c>
      <c r="IW48" s="99">
        <v>22.348555347091899</v>
      </c>
      <c r="IX48" s="99">
        <v>22.4087954971857</v>
      </c>
      <c r="IY48" s="99">
        <v>22.469035647279501</v>
      </c>
      <c r="IZ48" s="99">
        <v>22.529275797373302</v>
      </c>
      <c r="JA48" s="99">
        <v>22.589515947467099</v>
      </c>
      <c r="JB48" s="99">
        <v>22.6497560975609</v>
      </c>
      <c r="JC48" s="99">
        <v>22.7099962476548</v>
      </c>
      <c r="JD48" s="99">
        <v>22.770236397748601</v>
      </c>
      <c r="JE48" s="99">
        <v>22.830476547842402</v>
      </c>
      <c r="JF48" s="99">
        <v>22.890716697936199</v>
      </c>
      <c r="JG48" s="99">
        <v>22.95095684803</v>
      </c>
      <c r="JH48" s="99">
        <v>23.0111969981238</v>
      </c>
      <c r="JI48" s="99">
        <v>23.071437148217601</v>
      </c>
      <c r="JJ48" s="99">
        <v>23.131677298311399</v>
      </c>
      <c r="JK48" s="99">
        <v>23.191917448405199</v>
      </c>
      <c r="JL48" s="99">
        <v>23.252157598499</v>
      </c>
      <c r="JM48" s="99">
        <v>23.312397748592801</v>
      </c>
      <c r="JN48" s="99">
        <v>23.372637898686602</v>
      </c>
      <c r="JO48" s="99">
        <v>23.432878048780498</v>
      </c>
      <c r="JP48" s="99">
        <v>23.493118198874299</v>
      </c>
      <c r="JQ48" s="99">
        <v>23.5533583489681</v>
      </c>
      <c r="JR48" s="99">
        <v>23.613598499061901</v>
      </c>
      <c r="JS48" s="99">
        <v>23.673838649155702</v>
      </c>
      <c r="JT48" s="99">
        <v>23.734078799249499</v>
      </c>
      <c r="JU48" s="99">
        <v>23.7943189493433</v>
      </c>
      <c r="JV48" s="99">
        <v>23.8545590994371</v>
      </c>
      <c r="JW48" s="99">
        <v>23.914799249530901</v>
      </c>
      <c r="JX48" s="99">
        <v>23.975039399624698</v>
      </c>
      <c r="JY48" s="99">
        <v>24.035279549718499</v>
      </c>
      <c r="JZ48" s="99">
        <v>24.0955196998123</v>
      </c>
      <c r="KA48" s="99">
        <v>24.1557598499062</v>
      </c>
      <c r="KB48" s="99">
        <v>24.216000000000001</v>
      </c>
      <c r="KC48" s="99">
        <v>24.276240150093798</v>
      </c>
      <c r="KD48" s="99">
        <v>24.336480300187599</v>
      </c>
      <c r="KE48" s="99">
        <v>24.3967204502814</v>
      </c>
      <c r="KF48" s="99">
        <v>24.456960600375201</v>
      </c>
      <c r="KG48" s="99">
        <v>24.517200750469001</v>
      </c>
      <c r="KH48" s="99">
        <v>24.577440900562799</v>
      </c>
      <c r="KI48" s="99">
        <v>24.6376810506566</v>
      </c>
      <c r="KJ48" s="99">
        <v>24.6979212007504</v>
      </c>
      <c r="KK48" s="99">
        <v>24.758161350844201</v>
      </c>
      <c r="KL48" s="99">
        <v>24.818401500938101</v>
      </c>
      <c r="KM48" s="99">
        <v>24.878641651031899</v>
      </c>
      <c r="KN48" s="99">
        <v>24.938881801125699</v>
      </c>
      <c r="KO48" s="99">
        <v>24.9991219512195</v>
      </c>
      <c r="KP48" s="99">
        <v>25.059362101313301</v>
      </c>
      <c r="KQ48" s="99">
        <v>25.119602251407098</v>
      </c>
      <c r="KR48" s="99">
        <v>25.179842401500899</v>
      </c>
      <c r="KS48" s="99">
        <v>25.2400825515947</v>
      </c>
      <c r="KT48" s="99">
        <v>25.300322701688501</v>
      </c>
      <c r="KU48" s="99">
        <v>25.360562851782301</v>
      </c>
      <c r="KV48" s="99">
        <v>25.420803001876099</v>
      </c>
      <c r="KW48" s="99">
        <v>25.481043151969899</v>
      </c>
      <c r="KX48" s="99">
        <v>25.5412833020638</v>
      </c>
      <c r="KY48" s="99">
        <v>25.601523452157601</v>
      </c>
      <c r="KZ48" s="99">
        <v>25.661763602251401</v>
      </c>
      <c r="LA48" s="99">
        <v>25.722003752345199</v>
      </c>
      <c r="LB48" s="99">
        <v>25.782243902438999</v>
      </c>
      <c r="LC48" s="99">
        <v>25.8424840525328</v>
      </c>
      <c r="LD48" s="99">
        <v>25.902724202626601</v>
      </c>
      <c r="LE48" s="99">
        <v>25.962964352720402</v>
      </c>
      <c r="LF48" s="99">
        <v>26.023204502814199</v>
      </c>
      <c r="LG48" s="99">
        <v>26.083444652908</v>
      </c>
      <c r="LH48" s="99">
        <v>26.143684803001801</v>
      </c>
      <c r="LI48" s="99">
        <v>26.203924953095701</v>
      </c>
      <c r="LJ48" s="99">
        <v>26.264165103189502</v>
      </c>
      <c r="LK48" s="99">
        <v>26.324405253283299</v>
      </c>
      <c r="LL48" s="99">
        <v>26.3846454033771</v>
      </c>
      <c r="LM48" s="99">
        <v>26.4448855534709</v>
      </c>
      <c r="LN48" s="99">
        <v>26.505125703564701</v>
      </c>
      <c r="LO48" s="99">
        <v>26.565365853658498</v>
      </c>
      <c r="LP48" s="99">
        <v>26.625606003752299</v>
      </c>
      <c r="LQ48" s="99">
        <v>26.6858461538461</v>
      </c>
      <c r="LR48" s="99">
        <v>26.746086303939901</v>
      </c>
      <c r="LS48" s="99">
        <v>26.806326454033702</v>
      </c>
      <c r="LT48" s="99">
        <v>26.866566604127499</v>
      </c>
      <c r="LU48" s="99">
        <v>26.926806754221399</v>
      </c>
      <c r="LV48" s="99">
        <v>26.9870469043152</v>
      </c>
      <c r="LW48" s="99">
        <v>27.047287054409001</v>
      </c>
      <c r="LX48" s="99">
        <v>27.107527204502802</v>
      </c>
      <c r="LY48" s="99">
        <v>27.167767354596599</v>
      </c>
      <c r="LZ48" s="99">
        <v>27.2280075046904</v>
      </c>
      <c r="MA48" s="99">
        <v>27.2882476547842</v>
      </c>
      <c r="MB48" s="99">
        <v>27.348487804878001</v>
      </c>
      <c r="MC48" s="99">
        <v>27.408727954971798</v>
      </c>
      <c r="MD48" s="99">
        <v>27.468968105065599</v>
      </c>
      <c r="ME48" s="99">
        <v>27.5292082551594</v>
      </c>
      <c r="MF48" s="99">
        <v>27.589448405253201</v>
      </c>
      <c r="MG48" s="99">
        <v>27.649688555347101</v>
      </c>
      <c r="MH48" s="99">
        <v>27.709928705440898</v>
      </c>
      <c r="MI48" s="99">
        <v>27.770168855534699</v>
      </c>
      <c r="MJ48" s="99">
        <v>27.8304090056285</v>
      </c>
      <c r="MK48" s="99">
        <v>27.890649155722301</v>
      </c>
      <c r="ML48" s="99">
        <v>27.950889305816101</v>
      </c>
      <c r="MM48" s="99">
        <v>28.011129455909899</v>
      </c>
      <c r="MN48" s="99">
        <v>28.071369606003699</v>
      </c>
      <c r="MO48" s="99">
        <v>28.1316097560975</v>
      </c>
      <c r="MP48" s="99">
        <v>28.191849906191301</v>
      </c>
      <c r="MQ48" s="99">
        <v>28.252090056285098</v>
      </c>
      <c r="MR48" s="99">
        <v>28.312330206378999</v>
      </c>
      <c r="MS48" s="99">
        <v>28.372570356472799</v>
      </c>
      <c r="MT48" s="99">
        <v>28.4328105065666</v>
      </c>
      <c r="MU48" s="99">
        <v>28.493050656660401</v>
      </c>
      <c r="MV48" s="99">
        <v>28.553290806754202</v>
      </c>
      <c r="MW48" s="99">
        <v>28.613530956847999</v>
      </c>
      <c r="MX48" s="99">
        <v>28.6737711069418</v>
      </c>
      <c r="MY48" s="99">
        <v>28.734011257035601</v>
      </c>
      <c r="MZ48" s="99">
        <v>28.794251407129401</v>
      </c>
      <c r="NA48" s="99">
        <v>28.854491557223199</v>
      </c>
      <c r="NB48" s="99">
        <v>28.914731707316999</v>
      </c>
      <c r="NC48" s="99">
        <v>28.9749718574108</v>
      </c>
      <c r="ND48" s="99">
        <v>29.0352120075047</v>
      </c>
      <c r="NE48" s="99">
        <v>29.095452157598501</v>
      </c>
      <c r="NF48" s="99">
        <v>29.155692307692298</v>
      </c>
      <c r="NG48" s="99">
        <v>29.215932457786099</v>
      </c>
      <c r="NH48" s="99">
        <v>29.2761726078799</v>
      </c>
      <c r="NI48" s="99">
        <v>29.336412757973701</v>
      </c>
      <c r="NJ48" s="99">
        <v>29.396652908067502</v>
      </c>
      <c r="NK48" s="99">
        <v>29.456893058161299</v>
      </c>
      <c r="NL48" s="99">
        <v>29.5171332082551</v>
      </c>
      <c r="NM48" s="99">
        <v>29.5773733583489</v>
      </c>
      <c r="NN48" s="99">
        <v>29.637613508442701</v>
      </c>
      <c r="NO48" s="99">
        <v>29.697853658536602</v>
      </c>
      <c r="NP48" s="99">
        <v>29.758093808630399</v>
      </c>
      <c r="NQ48" s="99">
        <v>29.8183339587242</v>
      </c>
      <c r="NR48" s="99">
        <v>29.878574108818</v>
      </c>
      <c r="NS48" s="99">
        <v>29.938814258911801</v>
      </c>
      <c r="NT48" s="99">
        <v>29.999054409005598</v>
      </c>
      <c r="NU48" s="99">
        <v>30.059294559099399</v>
      </c>
      <c r="NV48" s="99">
        <v>30.1195347091932</v>
      </c>
      <c r="NW48" s="99">
        <v>30.179774859287001</v>
      </c>
      <c r="NX48" s="99">
        <v>30.240015009380802</v>
      </c>
      <c r="NY48" s="99">
        <v>30.300255159474599</v>
      </c>
      <c r="NZ48" s="99">
        <v>30.3604953095684</v>
      </c>
      <c r="OA48" s="99">
        <v>30.4207354596623</v>
      </c>
      <c r="OB48" s="99">
        <v>30.480975609756101</v>
      </c>
      <c r="OC48" s="99">
        <v>30.541215759849901</v>
      </c>
      <c r="OD48" s="99">
        <v>30.601455909943699</v>
      </c>
      <c r="OE48" s="99">
        <v>30.661696060037499</v>
      </c>
      <c r="OF48" s="99">
        <v>30.7219362101313</v>
      </c>
      <c r="OG48" s="99">
        <v>30.782176360225101</v>
      </c>
      <c r="OH48" s="99">
        <v>30.842416510318898</v>
      </c>
      <c r="OI48" s="99">
        <v>30.902656660412699</v>
      </c>
      <c r="OJ48" s="99">
        <v>30.9628968105065</v>
      </c>
      <c r="OK48" s="99">
        <v>31.023136960600301</v>
      </c>
      <c r="OL48" s="99">
        <v>31.083377110694201</v>
      </c>
      <c r="OM48" s="99">
        <v>31.143617260788002</v>
      </c>
      <c r="ON48" s="99">
        <v>31.203857410881799</v>
      </c>
      <c r="OO48" s="99">
        <v>31.2640975609756</v>
      </c>
      <c r="OP48" s="99">
        <v>31.324337711069401</v>
      </c>
      <c r="OQ48" s="99">
        <v>31.384577861163201</v>
      </c>
      <c r="OR48" s="99">
        <v>31.444818011256999</v>
      </c>
      <c r="OS48" s="99">
        <v>31.505058161350799</v>
      </c>
      <c r="OT48" s="99">
        <v>31.5652983114446</v>
      </c>
      <c r="OU48" s="99">
        <v>31.625538461538401</v>
      </c>
      <c r="OV48" s="99">
        <v>31.685778611632202</v>
      </c>
      <c r="OW48" s="99">
        <v>31.746018761725999</v>
      </c>
      <c r="OX48" s="99">
        <v>31.806258911819899</v>
      </c>
      <c r="OY48" s="99">
        <v>31.8664990619137</v>
      </c>
      <c r="OZ48" s="99">
        <v>31.926739212007501</v>
      </c>
      <c r="PA48" s="99">
        <v>31.986979362101302</v>
      </c>
      <c r="PB48" s="99">
        <v>32.047219512195099</v>
      </c>
      <c r="PC48" s="99">
        <v>32.107459662288903</v>
      </c>
      <c r="PD48" s="99">
        <v>32.1676998123827</v>
      </c>
      <c r="PE48" s="99">
        <v>32.227939962476498</v>
      </c>
      <c r="PF48" s="99">
        <v>32.288180112570302</v>
      </c>
      <c r="PG48" s="99">
        <v>32.348420262664099</v>
      </c>
      <c r="PH48" s="99">
        <v>32.408660412757897</v>
      </c>
      <c r="PI48" s="99">
        <v>32.4689005628518</v>
      </c>
      <c r="PJ48" s="99">
        <v>32.529140712945598</v>
      </c>
      <c r="PK48" s="99">
        <v>32.589380863039402</v>
      </c>
      <c r="PL48" s="99">
        <v>32.649621013133199</v>
      </c>
      <c r="PM48" s="99">
        <v>32.709861163227004</v>
      </c>
      <c r="PN48" s="99">
        <v>32.770101313320801</v>
      </c>
      <c r="PO48" s="99">
        <v>32.830341463414598</v>
      </c>
      <c r="PP48" s="99">
        <v>32.890581613508402</v>
      </c>
      <c r="PQ48" s="99">
        <v>32.9508217636022</v>
      </c>
      <c r="PR48" s="99">
        <v>33.011061913695997</v>
      </c>
      <c r="PS48" s="99">
        <v>33.071302063789801</v>
      </c>
      <c r="PT48" s="99">
        <v>33.131542213883598</v>
      </c>
      <c r="PU48" s="99">
        <v>33.191782363977502</v>
      </c>
      <c r="PV48" s="99">
        <v>33.252022514071299</v>
      </c>
      <c r="PW48" s="99">
        <v>33.312262664165097</v>
      </c>
      <c r="PX48" s="99">
        <v>33.372502814258901</v>
      </c>
      <c r="PY48" s="99">
        <v>33.432742964352698</v>
      </c>
      <c r="PZ48" s="99">
        <v>33.492983114446503</v>
      </c>
      <c r="QA48" s="99">
        <v>33.5532232645403</v>
      </c>
      <c r="QB48" s="99">
        <v>33.613463414634097</v>
      </c>
      <c r="QC48" s="99">
        <v>33.673703564727901</v>
      </c>
      <c r="QD48" s="99">
        <v>33.733943714821699</v>
      </c>
      <c r="QE48" s="99">
        <v>33.794183864915503</v>
      </c>
      <c r="QF48" s="99">
        <v>33.8544240150093</v>
      </c>
      <c r="QG48" s="99">
        <v>33.914664165103197</v>
      </c>
      <c r="QH48" s="99">
        <v>33.974904315197001</v>
      </c>
      <c r="QI48" s="99">
        <v>34.035144465290799</v>
      </c>
      <c r="QJ48" s="99">
        <v>34.095384615384603</v>
      </c>
      <c r="QK48" s="99">
        <v>34.1556247654784</v>
      </c>
      <c r="QL48" s="99">
        <v>34.215864915572197</v>
      </c>
      <c r="QM48" s="99">
        <v>34.276105065666002</v>
      </c>
      <c r="QN48" s="99">
        <v>34.336345215759799</v>
      </c>
      <c r="QO48" s="99">
        <v>34.396585365853603</v>
      </c>
      <c r="QP48" s="99">
        <v>34.456825515947401</v>
      </c>
      <c r="QQ48" s="99">
        <v>34.517065666041198</v>
      </c>
      <c r="QR48" s="99">
        <v>34.577305816135102</v>
      </c>
      <c r="QS48" s="99">
        <v>34.637545966228899</v>
      </c>
      <c r="QT48" s="99">
        <v>34.697786116322703</v>
      </c>
      <c r="QU48" s="99">
        <v>34.758026266416501</v>
      </c>
      <c r="QV48" s="99">
        <v>34.818266416510298</v>
      </c>
      <c r="QW48" s="99">
        <v>34.878506566604102</v>
      </c>
      <c r="QX48" s="99">
        <v>34.938746716697899</v>
      </c>
      <c r="QY48" s="99">
        <v>34.998986866791697</v>
      </c>
      <c r="QZ48" s="99">
        <v>35.059227016885501</v>
      </c>
      <c r="RA48" s="99">
        <v>35.119467166979298</v>
      </c>
      <c r="RB48" s="99">
        <v>35.179707317073103</v>
      </c>
      <c r="RC48" s="99">
        <v>35.2399474671669</v>
      </c>
      <c r="RD48" s="99">
        <v>35.300187617260796</v>
      </c>
      <c r="RE48" s="99">
        <v>35.360427767354601</v>
      </c>
      <c r="RF48" s="99">
        <v>35.420667917448398</v>
      </c>
      <c r="RG48" s="99">
        <v>35.480908067542202</v>
      </c>
      <c r="RH48" s="99">
        <v>35.541148217636</v>
      </c>
      <c r="RI48" s="99">
        <v>35.601388367729797</v>
      </c>
      <c r="RJ48" s="99">
        <v>35.661628517823601</v>
      </c>
      <c r="RK48" s="99">
        <v>35.721868667917398</v>
      </c>
      <c r="RL48" s="99">
        <v>35.782108818011203</v>
      </c>
      <c r="RM48" s="99">
        <v>35.842348968105</v>
      </c>
      <c r="RN48" s="99">
        <v>35.902589118198797</v>
      </c>
      <c r="RO48" s="99">
        <v>35.962829268292701</v>
      </c>
      <c r="RP48" s="99">
        <v>36.023069418386498</v>
      </c>
      <c r="RQ48" s="99">
        <v>36.083309568480303</v>
      </c>
      <c r="RR48" s="99">
        <v>36.1435497185741</v>
      </c>
      <c r="RS48" s="99">
        <v>36.203789868667897</v>
      </c>
      <c r="RT48" s="99">
        <v>36.264030018761702</v>
      </c>
      <c r="RU48" s="99">
        <v>36.324270168855499</v>
      </c>
      <c r="RV48" s="99">
        <v>36.384510318949303</v>
      </c>
      <c r="RW48" s="99">
        <v>36.4447504690431</v>
      </c>
      <c r="RX48" s="99">
        <v>36.504990619136898</v>
      </c>
      <c r="RY48" s="99">
        <v>36.565230769230702</v>
      </c>
      <c r="RZ48" s="99">
        <v>36.625470919324499</v>
      </c>
      <c r="SA48" s="99">
        <v>36.685711069418403</v>
      </c>
      <c r="SB48" s="99">
        <v>36.7459512195122</v>
      </c>
      <c r="SC48" s="99">
        <v>36.806191369605997</v>
      </c>
      <c r="SD48" s="99">
        <v>36.866431519699802</v>
      </c>
      <c r="SE48" s="99">
        <v>36.926671669793599</v>
      </c>
      <c r="SF48" s="99">
        <v>36.986911819887403</v>
      </c>
      <c r="SG48" s="99">
        <v>37.047151969981201</v>
      </c>
      <c r="SH48" s="99">
        <v>37.107392120074998</v>
      </c>
      <c r="SI48" s="99">
        <v>37.167632270168802</v>
      </c>
      <c r="SJ48" s="99">
        <v>37.227872420262599</v>
      </c>
      <c r="SK48" s="99">
        <v>37.288112570356397</v>
      </c>
      <c r="SL48" s="99">
        <v>37.348352720450201</v>
      </c>
      <c r="SM48" s="99">
        <v>37.408592870544098</v>
      </c>
      <c r="SN48" s="99">
        <v>37.468833020637902</v>
      </c>
      <c r="SO48" s="99">
        <v>37.529073170731699</v>
      </c>
      <c r="SP48" s="99">
        <v>37.589313320825497</v>
      </c>
      <c r="SQ48" s="99">
        <v>37.649553470919301</v>
      </c>
      <c r="SR48" s="99">
        <v>37.709793621013098</v>
      </c>
      <c r="SS48" s="99">
        <v>37.770033771106903</v>
      </c>
      <c r="ST48" s="99">
        <v>37.8302739212007</v>
      </c>
      <c r="SU48" s="99">
        <v>37.890514071294497</v>
      </c>
      <c r="SV48" s="99">
        <v>37.950754221388301</v>
      </c>
      <c r="SW48" s="99">
        <v>38.010994371482099</v>
      </c>
      <c r="SX48" s="99">
        <v>38.071234521576002</v>
      </c>
      <c r="SY48" s="99">
        <v>38.1314746716698</v>
      </c>
      <c r="SZ48" s="99">
        <v>38.191714821763597</v>
      </c>
      <c r="TA48" s="99">
        <v>38.251954971857401</v>
      </c>
      <c r="TB48" s="99">
        <v>38.312195121951198</v>
      </c>
      <c r="TC48" s="99">
        <v>38.372435272045003</v>
      </c>
      <c r="TD48" s="99">
        <v>38.4326754221388</v>
      </c>
      <c r="TE48" s="99">
        <v>38.492915572232597</v>
      </c>
      <c r="TF48" s="99">
        <v>38.553155722326402</v>
      </c>
      <c r="TG48" s="99">
        <v>38.613395872420199</v>
      </c>
      <c r="TH48" s="99">
        <v>38.673636022514003</v>
      </c>
      <c r="TI48" s="99">
        <v>38.7338761726078</v>
      </c>
      <c r="TJ48" s="99">
        <v>38.794116322701697</v>
      </c>
      <c r="TK48" s="99">
        <v>38.854356472795502</v>
      </c>
      <c r="TL48" s="99">
        <v>38.914596622889299</v>
      </c>
      <c r="TM48" s="99">
        <v>38.974836772983103</v>
      </c>
      <c r="TN48" s="99">
        <v>39.0350769230769</v>
      </c>
      <c r="TO48" s="99">
        <v>39.095317073170698</v>
      </c>
      <c r="TP48" s="99">
        <v>39.155557223264502</v>
      </c>
      <c r="TQ48" s="99">
        <v>39.215797373358299</v>
      </c>
      <c r="TR48" s="99">
        <v>39.276037523452104</v>
      </c>
      <c r="TS48" s="99">
        <v>39.336277673545901</v>
      </c>
      <c r="TT48" s="99">
        <v>39.396517823639698</v>
      </c>
      <c r="TU48" s="99">
        <v>39.456757973733602</v>
      </c>
      <c r="TV48" s="99">
        <v>39.516998123827399</v>
      </c>
      <c r="TW48" s="99">
        <v>39.577238273921203</v>
      </c>
      <c r="TX48" s="99">
        <v>39.637478424015001</v>
      </c>
      <c r="TY48" s="99">
        <v>39.697718574108798</v>
      </c>
      <c r="TZ48" s="99">
        <v>39.757958724202602</v>
      </c>
      <c r="UA48" s="99">
        <v>39.818198874296399</v>
      </c>
      <c r="UB48" s="99">
        <v>39.878439024390197</v>
      </c>
      <c r="UC48" s="99">
        <v>39.938679174484001</v>
      </c>
      <c r="UD48" s="99">
        <v>39.998919324577798</v>
      </c>
      <c r="UE48" s="99">
        <v>40.059159474671603</v>
      </c>
      <c r="UF48" s="99">
        <v>40.1193996247654</v>
      </c>
      <c r="UG48" s="99">
        <v>40.179639774859297</v>
      </c>
      <c r="UH48" s="99">
        <v>40.239879924953101</v>
      </c>
      <c r="UI48" s="99">
        <v>40.300120075046898</v>
      </c>
      <c r="UJ48" s="99">
        <v>40.360360225140703</v>
      </c>
      <c r="UK48" s="99">
        <v>40.4206003752345</v>
      </c>
      <c r="UL48" s="99">
        <v>40.480840525328297</v>
      </c>
      <c r="UM48" s="99">
        <v>40.541080675422101</v>
      </c>
      <c r="UN48" s="99">
        <v>40.601320825515899</v>
      </c>
      <c r="UO48" s="99">
        <v>40.661560975609703</v>
      </c>
      <c r="UP48" s="99">
        <v>40.7218011257035</v>
      </c>
      <c r="UQ48" s="99">
        <v>40.782041275797297</v>
      </c>
      <c r="UR48" s="99">
        <v>40.842281425891201</v>
      </c>
      <c r="US48" s="99">
        <v>40.902521575984899</v>
      </c>
      <c r="UT48" s="99">
        <v>40.962761726078703</v>
      </c>
    </row>
    <row r="49" spans="1:566" x14ac:dyDescent="0.2">
      <c r="A49" s="89">
        <v>21.5</v>
      </c>
      <c r="B49" s="90">
        <v>6.92</v>
      </c>
      <c r="C49" s="90">
        <v>6.98</v>
      </c>
      <c r="D49" s="90">
        <v>7.04</v>
      </c>
      <c r="E49" s="90">
        <v>7.1</v>
      </c>
      <c r="F49" s="90">
        <v>7.16</v>
      </c>
      <c r="G49" s="90">
        <v>7.22</v>
      </c>
      <c r="H49" s="90">
        <v>7.28</v>
      </c>
      <c r="I49" s="90">
        <v>7.34</v>
      </c>
      <c r="J49" s="90">
        <v>7.4</v>
      </c>
      <c r="K49" s="90">
        <v>7.46</v>
      </c>
      <c r="L49" s="90">
        <v>7.52</v>
      </c>
      <c r="M49" s="90">
        <v>7.58</v>
      </c>
      <c r="N49" s="90">
        <v>7.64</v>
      </c>
      <c r="O49" s="90">
        <v>7.7</v>
      </c>
      <c r="P49" s="90">
        <v>7.76</v>
      </c>
      <c r="Q49" s="90">
        <v>7.82</v>
      </c>
      <c r="R49" s="90">
        <v>7.88</v>
      </c>
      <c r="S49" s="90">
        <v>7.94</v>
      </c>
      <c r="T49" s="90">
        <v>7.99</v>
      </c>
      <c r="U49" s="91">
        <v>8.0500000000000007</v>
      </c>
      <c r="V49" s="90">
        <v>8.11</v>
      </c>
      <c r="W49" s="90">
        <v>8.17</v>
      </c>
      <c r="X49" s="90">
        <v>8.23</v>
      </c>
      <c r="Y49" s="90">
        <v>8.2899999999999991</v>
      </c>
      <c r="Z49" s="90">
        <v>8.35</v>
      </c>
      <c r="AA49" s="90">
        <v>8.41</v>
      </c>
      <c r="AB49" s="90">
        <v>8.4700000000000006</v>
      </c>
      <c r="AC49" s="90">
        <v>8.5299999999999994</v>
      </c>
      <c r="AD49" s="90">
        <v>8.59</v>
      </c>
      <c r="AE49" s="90">
        <v>8.65</v>
      </c>
      <c r="AF49" s="90">
        <v>8.7100000000000009</v>
      </c>
      <c r="AG49" s="90">
        <v>8.77</v>
      </c>
      <c r="AH49" s="90">
        <v>8.83</v>
      </c>
      <c r="AI49" s="90">
        <v>8.89</v>
      </c>
      <c r="AJ49" s="90">
        <v>8.9499999999999993</v>
      </c>
      <c r="AK49" s="90">
        <v>9.01</v>
      </c>
      <c r="AL49" s="90">
        <v>9.07</v>
      </c>
      <c r="AM49" s="90">
        <v>9.1300000000000008</v>
      </c>
      <c r="AN49" s="90">
        <v>9.19</v>
      </c>
      <c r="AO49" s="91">
        <v>9.25</v>
      </c>
      <c r="AP49" s="90">
        <v>9.3068846153846092</v>
      </c>
      <c r="AQ49" s="90">
        <v>9.3665131332082492</v>
      </c>
      <c r="AR49" s="90">
        <v>9.4261416510318892</v>
      </c>
      <c r="AS49" s="90">
        <v>9.4857701688555291</v>
      </c>
      <c r="AT49" s="90">
        <v>9.5453986866791691</v>
      </c>
      <c r="AU49" s="90">
        <v>9.6050272045028091</v>
      </c>
      <c r="AV49" s="90">
        <v>9.6646557223264509</v>
      </c>
      <c r="AW49" s="90">
        <v>9.7242842401500909</v>
      </c>
      <c r="AX49" s="90">
        <v>9.7839127579737308</v>
      </c>
      <c r="AY49" s="90">
        <v>9.8435412757973708</v>
      </c>
      <c r="AZ49" s="90">
        <v>9.9031697936210108</v>
      </c>
      <c r="BA49" s="90">
        <v>9.9627983114446508</v>
      </c>
      <c r="BB49" s="90">
        <v>10.0224268292683</v>
      </c>
      <c r="BC49" s="90">
        <v>10.082055347091901</v>
      </c>
      <c r="BD49" s="90">
        <v>10.141683864915599</v>
      </c>
      <c r="BE49" s="90">
        <v>10.2013123827392</v>
      </c>
      <c r="BF49" s="90">
        <v>10.2609409005629</v>
      </c>
      <c r="BG49" s="90">
        <v>10.3205694183865</v>
      </c>
      <c r="BH49" s="90">
        <v>10.3801979362101</v>
      </c>
      <c r="BI49" s="91">
        <v>10.439826454033801</v>
      </c>
      <c r="BJ49" s="90">
        <v>10.4994549718574</v>
      </c>
      <c r="BK49" s="99">
        <v>10.5590834896811</v>
      </c>
      <c r="BL49" s="99">
        <v>10.618712007504699</v>
      </c>
      <c r="BM49" s="99">
        <v>10.6783405253283</v>
      </c>
      <c r="BN49" s="99">
        <v>10.737969043152001</v>
      </c>
      <c r="BO49" s="99">
        <v>10.7975975609756</v>
      </c>
      <c r="BP49" s="99">
        <v>10.8572260787993</v>
      </c>
      <c r="BQ49" s="99">
        <v>10.916854596622899</v>
      </c>
      <c r="BR49" s="99">
        <v>10.9764831144465</v>
      </c>
      <c r="BS49" s="99">
        <v>11.036111632270201</v>
      </c>
      <c r="BT49" s="99">
        <v>11.0957401500938</v>
      </c>
      <c r="BU49" s="99">
        <v>11.1553686679175</v>
      </c>
      <c r="BV49" s="99">
        <v>11.214997185741099</v>
      </c>
      <c r="BW49" s="99">
        <v>11.2746257035647</v>
      </c>
      <c r="BX49" s="99">
        <v>11.334254221388401</v>
      </c>
      <c r="BY49" s="99">
        <v>11.393882739212</v>
      </c>
      <c r="BZ49" s="99">
        <v>11.453511257035601</v>
      </c>
      <c r="CA49" s="99">
        <v>11.513139774859299</v>
      </c>
      <c r="CB49" s="99">
        <v>11.5727682926829</v>
      </c>
      <c r="CC49" s="99">
        <v>11.6323968105066</v>
      </c>
      <c r="CD49" s="99">
        <v>11.6920253283302</v>
      </c>
      <c r="CE49" s="99">
        <v>11.7516538461538</v>
      </c>
      <c r="CF49" s="99">
        <v>11.811282363977501</v>
      </c>
      <c r="CG49" s="99">
        <v>11.8709108818011</v>
      </c>
      <c r="CH49" s="99">
        <v>11.9305393996248</v>
      </c>
      <c r="CI49" s="99">
        <v>11.990167917448399</v>
      </c>
      <c r="CJ49" s="99">
        <v>12.049796435272</v>
      </c>
      <c r="CK49" s="99">
        <v>12.109424953095701</v>
      </c>
      <c r="CL49" s="99">
        <v>12.1690534709193</v>
      </c>
      <c r="CM49" s="99">
        <v>12.228681988743</v>
      </c>
      <c r="CN49" s="99">
        <v>12.288310506566599</v>
      </c>
      <c r="CO49" s="99">
        <v>12.3479390243902</v>
      </c>
      <c r="CP49" s="99">
        <v>12.407567542213901</v>
      </c>
      <c r="CQ49" s="99">
        <v>12.4671960600375</v>
      </c>
      <c r="CR49" s="99">
        <v>12.5268245778612</v>
      </c>
      <c r="CS49" s="99">
        <v>12.586453095684799</v>
      </c>
      <c r="CT49" s="99">
        <v>12.6460816135084</v>
      </c>
      <c r="CU49" s="99">
        <v>12.705710131332101</v>
      </c>
      <c r="CV49" s="99">
        <v>12.7653386491557</v>
      </c>
      <c r="CW49" s="99">
        <v>12.8249671669794</v>
      </c>
      <c r="CX49" s="99">
        <v>12.884595684802999</v>
      </c>
      <c r="CY49" s="99">
        <v>12.9442242026266</v>
      </c>
      <c r="CZ49" s="99">
        <v>13.0038527204503</v>
      </c>
      <c r="DA49" s="99">
        <v>13.0634812382739</v>
      </c>
      <c r="DB49" s="99">
        <v>13.1231097560976</v>
      </c>
      <c r="DC49" s="99">
        <v>13.182738273921199</v>
      </c>
      <c r="DD49" s="99">
        <v>13.2423667917448</v>
      </c>
      <c r="DE49" s="99">
        <v>13.3019953095685</v>
      </c>
      <c r="DF49" s="99">
        <v>13.3616238273921</v>
      </c>
      <c r="DG49" s="99">
        <v>13.4212523452158</v>
      </c>
      <c r="DH49" s="99">
        <v>13.480880863039401</v>
      </c>
      <c r="DI49" s="99">
        <v>13.540509380863</v>
      </c>
      <c r="DJ49" s="99">
        <v>13.6001378986867</v>
      </c>
      <c r="DK49" s="99">
        <v>13.659766416510299</v>
      </c>
      <c r="DL49" s="99">
        <v>13.719394934334</v>
      </c>
      <c r="DM49" s="99">
        <v>13.779023452157601</v>
      </c>
      <c r="DN49" s="99">
        <v>13.8386519699812</v>
      </c>
      <c r="DO49" s="99">
        <v>13.8982804878049</v>
      </c>
      <c r="DP49" s="99">
        <v>13.957909005628499</v>
      </c>
      <c r="DQ49" s="99">
        <v>14.0175375234522</v>
      </c>
      <c r="DR49" s="99">
        <v>14.077166041275801</v>
      </c>
      <c r="DS49" s="99">
        <v>14.1367945590994</v>
      </c>
      <c r="DT49" s="99">
        <v>14.1964230769231</v>
      </c>
      <c r="DU49" s="99">
        <v>14.256051594746699</v>
      </c>
      <c r="DV49" s="99">
        <v>14.3156801125704</v>
      </c>
      <c r="DW49" s="99">
        <v>14.375308630394001</v>
      </c>
      <c r="DX49" s="99">
        <v>14.4349371482176</v>
      </c>
      <c r="DY49" s="99">
        <v>14.4945656660413</v>
      </c>
      <c r="DZ49" s="99">
        <v>14.554194183864899</v>
      </c>
      <c r="EA49" s="99">
        <v>14.6138227016886</v>
      </c>
      <c r="EB49" s="99">
        <v>14.6734512195122</v>
      </c>
      <c r="EC49" s="99">
        <v>14.7330797373358</v>
      </c>
      <c r="ED49" s="99">
        <v>14.7927082551595</v>
      </c>
      <c r="EE49" s="99">
        <v>14.852336772983101</v>
      </c>
      <c r="EF49" s="99">
        <v>14.911965290806799</v>
      </c>
      <c r="EG49" s="99">
        <v>14.9715938086304</v>
      </c>
      <c r="EH49" s="99">
        <v>15.031222326453999</v>
      </c>
      <c r="EI49" s="99">
        <v>15.0908508442777</v>
      </c>
      <c r="EJ49" s="99">
        <v>15.150479362101301</v>
      </c>
      <c r="EK49" s="99">
        <v>15.210107879924999</v>
      </c>
      <c r="EL49" s="99">
        <v>15.2697363977486</v>
      </c>
      <c r="EM49" s="99">
        <v>15.329364915572199</v>
      </c>
      <c r="EN49" s="99">
        <v>15.3889934333959</v>
      </c>
      <c r="EO49" s="99">
        <v>15.448621951219501</v>
      </c>
      <c r="EP49" s="99">
        <v>15.508250469043199</v>
      </c>
      <c r="EQ49" s="99">
        <v>15.5678789868668</v>
      </c>
      <c r="ER49" s="99">
        <v>15.627507504690399</v>
      </c>
      <c r="ES49" s="99">
        <v>15.6871360225141</v>
      </c>
      <c r="ET49" s="99">
        <v>15.746764540337701</v>
      </c>
      <c r="EU49" s="99">
        <v>15.806393058161399</v>
      </c>
      <c r="EV49" s="99">
        <v>15.866021575985</v>
      </c>
      <c r="EW49" s="99">
        <v>15.925650093808599</v>
      </c>
      <c r="EX49" s="99">
        <v>15.9852786116323</v>
      </c>
      <c r="EY49" s="99">
        <v>16.0449071294559</v>
      </c>
      <c r="EZ49" s="99">
        <v>16.104535647279601</v>
      </c>
      <c r="FA49" s="99">
        <v>16.164164165103202</v>
      </c>
      <c r="FB49" s="99">
        <v>16.223792682926799</v>
      </c>
      <c r="FC49" s="99">
        <v>16.283421200750499</v>
      </c>
      <c r="FD49" s="99">
        <v>16.3430497185741</v>
      </c>
      <c r="FE49" s="99">
        <v>16.402678236397801</v>
      </c>
      <c r="FF49" s="99">
        <v>16.462306754221402</v>
      </c>
      <c r="FG49" s="99">
        <v>16.521935272044999</v>
      </c>
      <c r="FH49" s="99">
        <v>16.581563789868699</v>
      </c>
      <c r="FI49" s="99">
        <v>16.6411923076923</v>
      </c>
      <c r="FJ49" s="99">
        <v>16.700820825516001</v>
      </c>
      <c r="FK49" s="99">
        <v>16.760449343339602</v>
      </c>
      <c r="FL49" s="99">
        <v>16.820077861163199</v>
      </c>
      <c r="FM49" s="99">
        <v>16.879706378986899</v>
      </c>
      <c r="FN49" s="99">
        <v>16.9393348968105</v>
      </c>
      <c r="FO49" s="99">
        <v>16.998963414634101</v>
      </c>
      <c r="FP49" s="99">
        <v>17.058591932457801</v>
      </c>
      <c r="FQ49" s="99">
        <v>17.118220450281399</v>
      </c>
      <c r="FR49" s="99">
        <v>17.177848968105</v>
      </c>
      <c r="FS49" s="99">
        <v>17.2374774859287</v>
      </c>
      <c r="FT49" s="99">
        <v>17.297106003752301</v>
      </c>
      <c r="FU49" s="99">
        <v>17.356734521576001</v>
      </c>
      <c r="FV49" s="99">
        <v>17.416363039399599</v>
      </c>
      <c r="FW49" s="99">
        <v>17.4759915572232</v>
      </c>
      <c r="FX49" s="99">
        <v>17.5356200750469</v>
      </c>
      <c r="FY49" s="99">
        <v>17.595248592870501</v>
      </c>
      <c r="FZ49" s="99">
        <v>17.654877110694201</v>
      </c>
      <c r="GA49" s="99">
        <v>17.714505628517799</v>
      </c>
      <c r="GB49" s="99">
        <v>17.7741341463414</v>
      </c>
      <c r="GC49" s="99">
        <v>17.8337626641651</v>
      </c>
      <c r="GD49" s="99">
        <v>17.893391181988701</v>
      </c>
      <c r="GE49" s="99">
        <v>17.953019699812401</v>
      </c>
      <c r="GF49" s="99">
        <v>18.012648217635999</v>
      </c>
      <c r="GG49" s="99">
        <v>18.072276735459599</v>
      </c>
      <c r="GH49" s="99">
        <v>18.1319052532833</v>
      </c>
      <c r="GI49" s="99">
        <v>18.191533771106901</v>
      </c>
      <c r="GJ49" s="99">
        <v>18.251162288930601</v>
      </c>
      <c r="GK49" s="99">
        <v>18.310790806754198</v>
      </c>
      <c r="GL49" s="99">
        <v>18.370419324577799</v>
      </c>
      <c r="GM49" s="99">
        <v>18.4300478424015</v>
      </c>
      <c r="GN49" s="99">
        <v>18.489676360225101</v>
      </c>
      <c r="GO49" s="99">
        <v>18.549304878048801</v>
      </c>
      <c r="GP49" s="99">
        <v>18.608933395872398</v>
      </c>
      <c r="GQ49" s="99">
        <v>18.668561913695999</v>
      </c>
      <c r="GR49" s="99">
        <v>18.7281904315197</v>
      </c>
      <c r="GS49" s="99">
        <v>18.787818949343301</v>
      </c>
      <c r="GT49" s="99">
        <v>18.847447467167001</v>
      </c>
      <c r="GU49" s="99">
        <v>18.907075984990598</v>
      </c>
      <c r="GV49" s="99">
        <v>18.966704502814199</v>
      </c>
      <c r="GW49" s="99">
        <v>19.0263330206379</v>
      </c>
      <c r="GX49" s="99">
        <v>19.0859615384615</v>
      </c>
      <c r="GY49" s="99">
        <v>19.145590056285201</v>
      </c>
      <c r="GZ49" s="99">
        <v>19.205218574108802</v>
      </c>
      <c r="HA49" s="99">
        <v>19.264847091932399</v>
      </c>
      <c r="HB49" s="99">
        <v>19.324475609756099</v>
      </c>
      <c r="HC49" s="99">
        <v>19.3841041275797</v>
      </c>
      <c r="HD49" s="99">
        <v>19.443732645403401</v>
      </c>
      <c r="HE49" s="99">
        <v>19.503361163227002</v>
      </c>
      <c r="HF49" s="99">
        <v>19.562989681050599</v>
      </c>
      <c r="HG49" s="99">
        <v>19.622618198874299</v>
      </c>
      <c r="HH49" s="99">
        <v>19.6822467166979</v>
      </c>
      <c r="HI49" s="99">
        <v>19.741875234521601</v>
      </c>
      <c r="HJ49" s="99">
        <v>19.801503752345202</v>
      </c>
      <c r="HK49" s="99">
        <v>19.861132270168799</v>
      </c>
      <c r="HL49" s="99">
        <v>19.920760787992499</v>
      </c>
      <c r="HM49" s="99">
        <v>19.9803893058161</v>
      </c>
      <c r="HN49" s="99">
        <v>20.040017823639801</v>
      </c>
      <c r="HO49" s="99">
        <v>20.099646341463401</v>
      </c>
      <c r="HP49" s="99">
        <v>20.159274859286999</v>
      </c>
      <c r="HQ49" s="99">
        <v>20.218903377110699</v>
      </c>
      <c r="HR49" s="99">
        <v>20.2785318949343</v>
      </c>
      <c r="HS49" s="99">
        <v>20.338160412758</v>
      </c>
      <c r="HT49" s="99">
        <v>20.397788930581601</v>
      </c>
      <c r="HU49" s="99">
        <v>20.457417448405199</v>
      </c>
      <c r="HV49" s="99">
        <v>20.517045966228899</v>
      </c>
      <c r="HW49" s="99">
        <v>20.5766744840525</v>
      </c>
      <c r="HX49" s="99">
        <v>20.6363030018762</v>
      </c>
      <c r="HY49" s="99">
        <v>20.695931519699801</v>
      </c>
      <c r="HZ49" s="99">
        <v>20.755560037523399</v>
      </c>
      <c r="IA49" s="99">
        <v>20.815188555347099</v>
      </c>
      <c r="IB49" s="99">
        <v>20.8748170731707</v>
      </c>
      <c r="IC49" s="99">
        <v>20.9344455909944</v>
      </c>
      <c r="ID49" s="99">
        <v>20.994074108818001</v>
      </c>
      <c r="IE49" s="99">
        <v>21.053702626641599</v>
      </c>
      <c r="IF49" s="99">
        <v>21.113331144465299</v>
      </c>
      <c r="IG49" s="99">
        <v>21.1729596622889</v>
      </c>
      <c r="IH49" s="99">
        <v>21.2325881801126</v>
      </c>
      <c r="II49" s="99">
        <v>21.292216697936201</v>
      </c>
      <c r="IJ49" s="99">
        <v>21.351845215759798</v>
      </c>
      <c r="IK49" s="99">
        <v>21.411473733583499</v>
      </c>
      <c r="IL49" s="99">
        <v>21.4711022514071</v>
      </c>
      <c r="IM49" s="99">
        <v>21.530730769230701</v>
      </c>
      <c r="IN49" s="99">
        <v>21.590359287054401</v>
      </c>
      <c r="IO49" s="99">
        <v>21.649987804877998</v>
      </c>
      <c r="IP49" s="99">
        <v>21.709616322701699</v>
      </c>
      <c r="IQ49" s="99">
        <v>21.7692448405253</v>
      </c>
      <c r="IR49" s="99">
        <v>21.828873358348901</v>
      </c>
      <c r="IS49" s="99">
        <v>21.888501876172601</v>
      </c>
      <c r="IT49" s="99">
        <v>21.948130393996198</v>
      </c>
      <c r="IU49" s="99">
        <v>22.007758911819899</v>
      </c>
      <c r="IV49" s="99">
        <v>22.0673874296435</v>
      </c>
      <c r="IW49" s="99">
        <v>22.1270159474671</v>
      </c>
      <c r="IX49" s="99">
        <v>22.186644465290801</v>
      </c>
      <c r="IY49" s="99">
        <v>22.246272983114402</v>
      </c>
      <c r="IZ49" s="99">
        <v>22.305901500938099</v>
      </c>
      <c r="JA49" s="99">
        <v>22.365530018761699</v>
      </c>
      <c r="JB49" s="99">
        <v>22.4251585365853</v>
      </c>
      <c r="JC49" s="99">
        <v>22.484787054409001</v>
      </c>
      <c r="JD49" s="99">
        <v>22.544415572232602</v>
      </c>
      <c r="JE49" s="99">
        <v>22.604044090056298</v>
      </c>
      <c r="JF49" s="99">
        <v>22.663672607879899</v>
      </c>
      <c r="JG49" s="99">
        <v>22.7233011257035</v>
      </c>
      <c r="JH49" s="99">
        <v>22.782929643527201</v>
      </c>
      <c r="JI49" s="99">
        <v>22.842558161350802</v>
      </c>
      <c r="JJ49" s="99">
        <v>22.902186679174498</v>
      </c>
      <c r="JK49" s="99">
        <v>22.961815196998099</v>
      </c>
      <c r="JL49" s="99">
        <v>23.0214437148217</v>
      </c>
      <c r="JM49" s="99">
        <v>23.081072232645401</v>
      </c>
      <c r="JN49" s="99">
        <v>23.140700750469001</v>
      </c>
      <c r="JO49" s="99">
        <v>23.200329268292698</v>
      </c>
      <c r="JP49" s="99">
        <v>23.259957786116299</v>
      </c>
      <c r="JQ49" s="99">
        <v>23.3195863039399</v>
      </c>
      <c r="JR49" s="99">
        <v>23.3792148217636</v>
      </c>
      <c r="JS49" s="99">
        <v>23.438843339587201</v>
      </c>
      <c r="JT49" s="99">
        <v>23.498471857410902</v>
      </c>
      <c r="JU49" s="99">
        <v>23.558100375234499</v>
      </c>
      <c r="JV49" s="99">
        <v>23.6177288930581</v>
      </c>
      <c r="JW49" s="99">
        <v>23.6773574108818</v>
      </c>
      <c r="JX49" s="99">
        <v>23.736985928705401</v>
      </c>
      <c r="JY49" s="99">
        <v>23.796614446529102</v>
      </c>
      <c r="JZ49" s="99">
        <v>23.856242964352699</v>
      </c>
      <c r="KA49" s="99">
        <v>23.9158714821763</v>
      </c>
      <c r="KB49" s="99">
        <v>23.9755</v>
      </c>
      <c r="KC49" s="99">
        <v>24.035128517823601</v>
      </c>
      <c r="KD49" s="99">
        <v>24.094757035647302</v>
      </c>
      <c r="KE49" s="99">
        <v>24.154385553470899</v>
      </c>
      <c r="KF49" s="99">
        <v>24.2140140712945</v>
      </c>
      <c r="KG49" s="99">
        <v>24.2736425891182</v>
      </c>
      <c r="KH49" s="99">
        <v>24.333271106941801</v>
      </c>
      <c r="KI49" s="99">
        <v>24.392899624765501</v>
      </c>
      <c r="KJ49" s="99">
        <v>24.452528142589099</v>
      </c>
      <c r="KK49" s="99">
        <v>24.5121566604127</v>
      </c>
      <c r="KL49" s="99">
        <v>24.5717851782364</v>
      </c>
      <c r="KM49" s="99">
        <v>24.631413696060001</v>
      </c>
      <c r="KN49" s="99">
        <v>24.691042213883701</v>
      </c>
      <c r="KO49" s="99">
        <v>24.750670731707299</v>
      </c>
      <c r="KP49" s="99">
        <v>24.8102992495309</v>
      </c>
      <c r="KQ49" s="99">
        <v>24.8699277673546</v>
      </c>
      <c r="KR49" s="99">
        <v>24.929556285178201</v>
      </c>
      <c r="KS49" s="99">
        <v>24.989184803001901</v>
      </c>
      <c r="KT49" s="99">
        <v>25.048813320825499</v>
      </c>
      <c r="KU49" s="99">
        <v>25.1084418386491</v>
      </c>
      <c r="KV49" s="99">
        <v>25.1680703564728</v>
      </c>
      <c r="KW49" s="99">
        <v>25.227698874296401</v>
      </c>
      <c r="KX49" s="99">
        <v>25.287327392120101</v>
      </c>
      <c r="KY49" s="99">
        <v>25.346955909943699</v>
      </c>
      <c r="KZ49" s="99">
        <v>25.406584427767299</v>
      </c>
      <c r="LA49" s="99">
        <v>25.466212945591</v>
      </c>
      <c r="LB49" s="99">
        <v>25.525841463414601</v>
      </c>
      <c r="LC49" s="99">
        <v>25.585469981238301</v>
      </c>
      <c r="LD49" s="99">
        <v>25.645098499061898</v>
      </c>
      <c r="LE49" s="99">
        <v>25.704727016885499</v>
      </c>
      <c r="LF49" s="99">
        <v>25.7643555347092</v>
      </c>
      <c r="LG49" s="99">
        <v>25.823984052532801</v>
      </c>
      <c r="LH49" s="99">
        <v>25.883612570356501</v>
      </c>
      <c r="LI49" s="99">
        <v>25.943241088180098</v>
      </c>
      <c r="LJ49" s="99">
        <v>26.002869606003699</v>
      </c>
      <c r="LK49" s="99">
        <v>26.0624981238274</v>
      </c>
      <c r="LL49" s="99">
        <v>26.122126641651001</v>
      </c>
      <c r="LM49" s="99">
        <v>26.181755159474701</v>
      </c>
      <c r="LN49" s="99">
        <v>26.241383677298298</v>
      </c>
      <c r="LO49" s="99">
        <v>26.301012195121899</v>
      </c>
      <c r="LP49" s="99">
        <v>26.3606407129456</v>
      </c>
      <c r="LQ49" s="99">
        <v>26.4202692307692</v>
      </c>
      <c r="LR49" s="99">
        <v>26.479897748592901</v>
      </c>
      <c r="LS49" s="99">
        <v>26.539526266416502</v>
      </c>
      <c r="LT49" s="99">
        <v>26.599154784240099</v>
      </c>
      <c r="LU49" s="99">
        <v>26.658783302063799</v>
      </c>
      <c r="LV49" s="99">
        <v>26.7184118198874</v>
      </c>
      <c r="LW49" s="99">
        <v>26.778040337711001</v>
      </c>
      <c r="LX49" s="99">
        <v>26.837668855534702</v>
      </c>
      <c r="LY49" s="99">
        <v>26.897297373358299</v>
      </c>
      <c r="LZ49" s="99">
        <v>26.956925891181999</v>
      </c>
      <c r="MA49" s="99">
        <v>27.0165544090056</v>
      </c>
      <c r="MB49" s="99">
        <v>27.076182926829201</v>
      </c>
      <c r="MC49" s="99">
        <v>27.135811444652902</v>
      </c>
      <c r="MD49" s="99">
        <v>27.195439962476499</v>
      </c>
      <c r="ME49" s="99">
        <v>27.255068480300199</v>
      </c>
      <c r="MF49" s="99">
        <v>27.3146969981238</v>
      </c>
      <c r="MG49" s="99">
        <v>27.374325515947401</v>
      </c>
      <c r="MH49" s="99">
        <v>27.433954033771101</v>
      </c>
      <c r="MI49" s="99">
        <v>27.493582551594699</v>
      </c>
      <c r="MJ49" s="99">
        <v>27.553211069418399</v>
      </c>
      <c r="MK49" s="99">
        <v>27.612839587242</v>
      </c>
      <c r="ML49" s="99">
        <v>27.672468105065601</v>
      </c>
      <c r="MM49" s="99">
        <v>27.732096622889301</v>
      </c>
      <c r="MN49" s="99">
        <v>27.791725140712899</v>
      </c>
      <c r="MO49" s="99">
        <v>27.851353658536599</v>
      </c>
      <c r="MP49" s="99">
        <v>27.9109821763602</v>
      </c>
      <c r="MQ49" s="99">
        <v>27.970610694183801</v>
      </c>
      <c r="MR49" s="99">
        <v>28.030239212007501</v>
      </c>
      <c r="MS49" s="99">
        <v>28.089867729831099</v>
      </c>
      <c r="MT49" s="99">
        <v>28.149496247654799</v>
      </c>
      <c r="MU49" s="99">
        <v>28.2091247654784</v>
      </c>
      <c r="MV49" s="99">
        <v>28.268753283302001</v>
      </c>
      <c r="MW49" s="99">
        <v>28.328381801125701</v>
      </c>
      <c r="MX49" s="99">
        <v>28.388010318949298</v>
      </c>
      <c r="MY49" s="99">
        <v>28.447638836772999</v>
      </c>
      <c r="MZ49" s="99">
        <v>28.5072673545966</v>
      </c>
      <c r="NA49" s="99">
        <v>28.566895872420201</v>
      </c>
      <c r="NB49" s="99">
        <v>28.626524390243901</v>
      </c>
      <c r="NC49" s="99">
        <v>28.686152908067498</v>
      </c>
      <c r="ND49" s="99">
        <v>28.745781425891199</v>
      </c>
      <c r="NE49" s="99">
        <v>28.8054099437148</v>
      </c>
      <c r="NF49" s="99">
        <v>28.865038461538401</v>
      </c>
      <c r="NG49" s="99">
        <v>28.924666979362101</v>
      </c>
      <c r="NH49" s="99">
        <v>28.984295497185698</v>
      </c>
      <c r="NI49" s="99">
        <v>29.043924015009399</v>
      </c>
      <c r="NJ49" s="99">
        <v>29.103552532833</v>
      </c>
      <c r="NK49" s="99">
        <v>29.1631810506566</v>
      </c>
      <c r="NL49" s="99">
        <v>29.222809568480301</v>
      </c>
      <c r="NM49" s="99">
        <v>29.282438086303902</v>
      </c>
      <c r="NN49" s="99">
        <v>29.342066604127599</v>
      </c>
      <c r="NO49" s="99">
        <v>29.401695121951199</v>
      </c>
      <c r="NP49" s="99">
        <v>29.4613236397748</v>
      </c>
      <c r="NQ49" s="99">
        <v>29.520952157598501</v>
      </c>
      <c r="NR49" s="99">
        <v>29.580580675422102</v>
      </c>
      <c r="NS49" s="99">
        <v>29.640209193245799</v>
      </c>
      <c r="NT49" s="99">
        <v>29.699837711069399</v>
      </c>
      <c r="NU49" s="99">
        <v>29.759466228893</v>
      </c>
      <c r="NV49" s="99">
        <v>29.819094746716701</v>
      </c>
      <c r="NW49" s="99">
        <v>29.878723264540302</v>
      </c>
      <c r="NX49" s="99">
        <v>29.938351782363998</v>
      </c>
      <c r="NY49" s="99">
        <v>29.997980300187599</v>
      </c>
      <c r="NZ49" s="99">
        <v>30.0576088180112</v>
      </c>
      <c r="OA49" s="99">
        <v>30.117237335834901</v>
      </c>
      <c r="OB49" s="99">
        <v>30.176865853658501</v>
      </c>
      <c r="OC49" s="99">
        <v>30.236494371482198</v>
      </c>
      <c r="OD49" s="99">
        <v>30.296122889305799</v>
      </c>
      <c r="OE49" s="99">
        <v>30.3557514071294</v>
      </c>
      <c r="OF49" s="99">
        <v>30.4153799249531</v>
      </c>
      <c r="OG49" s="99">
        <v>30.475008442776701</v>
      </c>
      <c r="OH49" s="99">
        <v>30.534636960600398</v>
      </c>
      <c r="OI49" s="99">
        <v>30.594265478423999</v>
      </c>
      <c r="OJ49" s="99">
        <v>30.6538939962476</v>
      </c>
      <c r="OK49" s="99">
        <v>30.7135225140713</v>
      </c>
      <c r="OL49" s="99">
        <v>30.773151031894901</v>
      </c>
      <c r="OM49" s="99">
        <v>30.832779549718602</v>
      </c>
      <c r="ON49" s="99">
        <v>30.892408067542199</v>
      </c>
      <c r="OO49" s="99">
        <v>30.9520365853658</v>
      </c>
      <c r="OP49" s="99">
        <v>31.0116651031895</v>
      </c>
      <c r="OQ49" s="99">
        <v>31.071293621013101</v>
      </c>
      <c r="OR49" s="99">
        <v>31.130922138836802</v>
      </c>
      <c r="OS49" s="99">
        <v>31.190550656660399</v>
      </c>
      <c r="OT49" s="99">
        <v>31.250179174484</v>
      </c>
      <c r="OU49" s="99">
        <v>31.3098076923077</v>
      </c>
      <c r="OV49" s="99">
        <v>31.369436210131301</v>
      </c>
      <c r="OW49" s="99">
        <v>31.429064727955002</v>
      </c>
      <c r="OX49" s="99">
        <v>31.488693245778599</v>
      </c>
      <c r="OY49" s="99">
        <v>31.5483217636022</v>
      </c>
      <c r="OZ49" s="99">
        <v>31.6079502814259</v>
      </c>
      <c r="PA49" s="99">
        <v>31.667578799249501</v>
      </c>
      <c r="PB49" s="99">
        <v>31.727207317073201</v>
      </c>
      <c r="PC49" s="99">
        <v>31.786835834896799</v>
      </c>
      <c r="PD49" s="99">
        <v>31.8464643527204</v>
      </c>
      <c r="PE49" s="99">
        <v>31.9060928705441</v>
      </c>
      <c r="PF49" s="99">
        <v>31.965721388367701</v>
      </c>
      <c r="PG49" s="99">
        <v>32.025349906191401</v>
      </c>
      <c r="PH49" s="99">
        <v>32.084978424014999</v>
      </c>
      <c r="PI49" s="99">
        <v>32.144606941838603</v>
      </c>
      <c r="PJ49" s="99">
        <v>32.2042354596623</v>
      </c>
      <c r="PK49" s="99">
        <v>32.263863977485897</v>
      </c>
      <c r="PL49" s="99">
        <v>32.323492495309601</v>
      </c>
      <c r="PM49" s="99">
        <v>32.383121013133199</v>
      </c>
      <c r="PN49" s="99">
        <v>32.442749530956803</v>
      </c>
      <c r="PO49" s="99">
        <v>32.5023780487805</v>
      </c>
      <c r="PP49" s="99">
        <v>32.562006566604097</v>
      </c>
      <c r="PQ49" s="99">
        <v>32.621635084427801</v>
      </c>
      <c r="PR49" s="99">
        <v>32.681263602251398</v>
      </c>
      <c r="PS49" s="99">
        <v>32.740892120075003</v>
      </c>
      <c r="PT49" s="99">
        <v>32.8005206378987</v>
      </c>
      <c r="PU49" s="99">
        <v>32.860149155722297</v>
      </c>
      <c r="PV49" s="99">
        <v>32.919777673546001</v>
      </c>
      <c r="PW49" s="99">
        <v>32.979406191369598</v>
      </c>
      <c r="PX49" s="99">
        <v>33.039034709193203</v>
      </c>
      <c r="PY49" s="99">
        <v>33.0986632270169</v>
      </c>
      <c r="PZ49" s="99">
        <v>33.158291744840497</v>
      </c>
      <c r="QA49" s="99">
        <v>33.217920262664201</v>
      </c>
      <c r="QB49" s="99">
        <v>33.277548780487798</v>
      </c>
      <c r="QC49" s="99">
        <v>33.337177298311403</v>
      </c>
      <c r="QD49" s="99">
        <v>33.3968058161351</v>
      </c>
      <c r="QE49" s="99">
        <v>33.456434333958697</v>
      </c>
      <c r="QF49" s="99">
        <v>33.516062851782301</v>
      </c>
      <c r="QG49" s="99">
        <v>33.575691369605998</v>
      </c>
      <c r="QH49" s="99">
        <v>33.635319887429603</v>
      </c>
      <c r="QI49" s="99">
        <v>33.694948405253299</v>
      </c>
      <c r="QJ49" s="99">
        <v>33.754576923076897</v>
      </c>
      <c r="QK49" s="99">
        <v>33.814205440900501</v>
      </c>
      <c r="QL49" s="99">
        <v>33.873833958724198</v>
      </c>
      <c r="QM49" s="99">
        <v>33.933462476547803</v>
      </c>
      <c r="QN49" s="99">
        <v>33.993090994371499</v>
      </c>
      <c r="QO49" s="99">
        <v>34.052719512195097</v>
      </c>
      <c r="QP49" s="99">
        <v>34.112348030018701</v>
      </c>
      <c r="QQ49" s="99">
        <v>34.171976547842398</v>
      </c>
      <c r="QR49" s="99">
        <v>34.231605065666002</v>
      </c>
      <c r="QS49" s="99">
        <v>34.291233583489699</v>
      </c>
      <c r="QT49" s="99">
        <v>34.350862101313297</v>
      </c>
      <c r="QU49" s="99">
        <v>34.410490619136901</v>
      </c>
      <c r="QV49" s="99">
        <v>34.470119136960598</v>
      </c>
      <c r="QW49" s="99">
        <v>34.529747654784202</v>
      </c>
      <c r="QX49" s="99">
        <v>34.589376172607899</v>
      </c>
      <c r="QY49" s="99">
        <v>34.649004690431497</v>
      </c>
      <c r="QZ49" s="99">
        <v>34.708633208255101</v>
      </c>
      <c r="RA49" s="99">
        <v>34.768261726078798</v>
      </c>
      <c r="RB49" s="99">
        <v>34.827890243902402</v>
      </c>
      <c r="RC49" s="99">
        <v>34.887518761726099</v>
      </c>
      <c r="RD49" s="99">
        <v>34.947147279549696</v>
      </c>
      <c r="RE49" s="99">
        <v>35.006775797373301</v>
      </c>
      <c r="RF49" s="99">
        <v>35.066404315196998</v>
      </c>
      <c r="RG49" s="99">
        <v>35.126032833020602</v>
      </c>
      <c r="RH49" s="99">
        <v>35.185661350844299</v>
      </c>
      <c r="RI49" s="99">
        <v>35.245289868667903</v>
      </c>
      <c r="RJ49" s="99">
        <v>35.304918386491501</v>
      </c>
      <c r="RK49" s="99">
        <v>35.364546904315198</v>
      </c>
      <c r="RL49" s="99">
        <v>35.424175422138802</v>
      </c>
      <c r="RM49" s="99">
        <v>35.483803939962499</v>
      </c>
      <c r="RN49" s="99">
        <v>35.543432457786103</v>
      </c>
      <c r="RO49" s="99">
        <v>35.603060975609701</v>
      </c>
      <c r="RP49" s="99">
        <v>35.662689493433398</v>
      </c>
      <c r="RQ49" s="99">
        <v>35.722318011257002</v>
      </c>
      <c r="RR49" s="99">
        <v>35.781946529080699</v>
      </c>
      <c r="RS49" s="99">
        <v>35.841575046904303</v>
      </c>
      <c r="RT49" s="99">
        <v>35.901203564727901</v>
      </c>
      <c r="RU49" s="99">
        <v>35.960832082551597</v>
      </c>
      <c r="RV49" s="99">
        <v>36.020460600375202</v>
      </c>
      <c r="RW49" s="99">
        <v>36.080089118198899</v>
      </c>
      <c r="RX49" s="99">
        <v>36.139717636022503</v>
      </c>
      <c r="RY49" s="99">
        <v>36.199346153846101</v>
      </c>
      <c r="RZ49" s="99">
        <v>36.258974671669797</v>
      </c>
      <c r="SA49" s="99">
        <v>36.318603189493402</v>
      </c>
      <c r="SB49" s="99">
        <v>36.378231707317099</v>
      </c>
      <c r="SC49" s="99">
        <v>36.437860225140703</v>
      </c>
      <c r="SD49" s="99">
        <v>36.4974887429643</v>
      </c>
      <c r="SE49" s="99">
        <v>36.557117260787997</v>
      </c>
      <c r="SF49" s="99">
        <v>36.616745778611602</v>
      </c>
      <c r="SG49" s="99">
        <v>36.676374296435299</v>
      </c>
      <c r="SH49" s="99">
        <v>36.736002814258903</v>
      </c>
      <c r="SI49" s="99">
        <v>36.7956313320825</v>
      </c>
      <c r="SJ49" s="99">
        <v>36.855259849906197</v>
      </c>
      <c r="SK49" s="99">
        <v>36.914888367729802</v>
      </c>
      <c r="SL49" s="99">
        <v>36.974516885553498</v>
      </c>
      <c r="SM49" s="99">
        <v>37.034145403377103</v>
      </c>
      <c r="SN49" s="99">
        <v>37.0937739212007</v>
      </c>
      <c r="SO49" s="99">
        <v>37.153402439024397</v>
      </c>
      <c r="SP49" s="99">
        <v>37.213030956848002</v>
      </c>
      <c r="SQ49" s="99">
        <v>37.272659474671698</v>
      </c>
      <c r="SR49" s="99">
        <v>37.332287992495303</v>
      </c>
      <c r="SS49" s="99">
        <v>37.3919165103189</v>
      </c>
      <c r="ST49" s="99">
        <v>37.451545028142597</v>
      </c>
      <c r="SU49" s="99">
        <v>37.511173545966201</v>
      </c>
      <c r="SV49" s="99">
        <v>37.570802063789898</v>
      </c>
      <c r="SW49" s="99">
        <v>37.630430581613503</v>
      </c>
      <c r="SX49" s="99">
        <v>37.6900590994371</v>
      </c>
      <c r="SY49" s="99">
        <v>37.749687617260797</v>
      </c>
      <c r="SZ49" s="99">
        <v>37.809316135084401</v>
      </c>
      <c r="TA49" s="99">
        <v>37.868944652908098</v>
      </c>
      <c r="TB49" s="99">
        <v>37.928573170731703</v>
      </c>
      <c r="TC49" s="99">
        <v>37.9882016885553</v>
      </c>
      <c r="TD49" s="99">
        <v>38.047830206378997</v>
      </c>
      <c r="TE49" s="99">
        <v>38.107458724202601</v>
      </c>
      <c r="TF49" s="99">
        <v>38.167087242026298</v>
      </c>
      <c r="TG49" s="99">
        <v>38.226715759849903</v>
      </c>
      <c r="TH49" s="99">
        <v>38.2863442776735</v>
      </c>
      <c r="TI49" s="99">
        <v>38.345972795497197</v>
      </c>
      <c r="TJ49" s="99">
        <v>38.405601313320801</v>
      </c>
      <c r="TK49" s="99">
        <v>38.465229831144498</v>
      </c>
      <c r="TL49" s="99">
        <v>38.524858348968102</v>
      </c>
      <c r="TM49" s="99">
        <v>38.5844868667917</v>
      </c>
      <c r="TN49" s="99">
        <v>38.644115384615397</v>
      </c>
      <c r="TO49" s="99">
        <v>38.703743902439001</v>
      </c>
      <c r="TP49" s="99">
        <v>38.763372420262698</v>
      </c>
      <c r="TQ49" s="99">
        <v>38.823000938086302</v>
      </c>
      <c r="TR49" s="99">
        <v>38.8826294559099</v>
      </c>
      <c r="TS49" s="99">
        <v>38.942257973733597</v>
      </c>
      <c r="TT49" s="99">
        <v>39.001886491557201</v>
      </c>
      <c r="TU49" s="99">
        <v>39.061515009380898</v>
      </c>
      <c r="TV49" s="99">
        <v>39.121143527204502</v>
      </c>
      <c r="TW49" s="99">
        <v>39.1807720450281</v>
      </c>
      <c r="TX49" s="99">
        <v>39.240400562851796</v>
      </c>
      <c r="TY49" s="99">
        <v>39.300029080675401</v>
      </c>
      <c r="TZ49" s="99">
        <v>39.359657598499098</v>
      </c>
      <c r="UA49" s="99">
        <v>39.419286116322702</v>
      </c>
      <c r="UB49" s="99">
        <v>39.4789146341463</v>
      </c>
      <c r="UC49" s="99">
        <v>39.538543151970003</v>
      </c>
      <c r="UD49" s="99">
        <v>39.598171669793601</v>
      </c>
      <c r="UE49" s="99">
        <v>39.657800187617298</v>
      </c>
      <c r="UF49" s="99">
        <v>39.717428705440902</v>
      </c>
      <c r="UG49" s="99">
        <v>39.777057223264499</v>
      </c>
      <c r="UH49" s="99">
        <v>39.836685741088203</v>
      </c>
      <c r="UI49" s="99">
        <v>39.896314258911801</v>
      </c>
      <c r="UJ49" s="99">
        <v>39.955942776735398</v>
      </c>
      <c r="UK49" s="99">
        <v>40.015571294559102</v>
      </c>
      <c r="UL49" s="99">
        <v>40.075199812382699</v>
      </c>
      <c r="UM49" s="99">
        <v>40.134828330206403</v>
      </c>
      <c r="UN49" s="99">
        <v>40.194456848030001</v>
      </c>
      <c r="UO49" s="99">
        <v>40.254085365853598</v>
      </c>
      <c r="UP49" s="99">
        <v>40.313713883677302</v>
      </c>
      <c r="UQ49" s="99">
        <v>40.373342401500899</v>
      </c>
      <c r="UR49" s="99">
        <v>40.432970919324603</v>
      </c>
      <c r="US49" s="99">
        <v>40.492599437148201</v>
      </c>
      <c r="UT49" s="99">
        <v>40.552227954971798</v>
      </c>
    </row>
    <row r="50" spans="1:566" x14ac:dyDescent="0.2">
      <c r="A50" s="89">
        <v>22</v>
      </c>
      <c r="B50" s="90">
        <v>6.85</v>
      </c>
      <c r="C50" s="90">
        <v>6.91</v>
      </c>
      <c r="D50" s="90">
        <v>6.97</v>
      </c>
      <c r="E50" s="90">
        <v>7.03</v>
      </c>
      <c r="F50" s="90">
        <v>7.09</v>
      </c>
      <c r="G50" s="90">
        <v>7.15</v>
      </c>
      <c r="H50" s="90">
        <v>7.21</v>
      </c>
      <c r="I50" s="90">
        <v>7.27</v>
      </c>
      <c r="J50" s="90">
        <v>7.33</v>
      </c>
      <c r="K50" s="90">
        <v>7.39</v>
      </c>
      <c r="L50" s="90">
        <v>7.45</v>
      </c>
      <c r="M50" s="90">
        <v>7.5</v>
      </c>
      <c r="N50" s="90">
        <v>7.56</v>
      </c>
      <c r="O50" s="90">
        <v>7.62</v>
      </c>
      <c r="P50" s="90">
        <v>7.68</v>
      </c>
      <c r="Q50" s="90">
        <v>7.74</v>
      </c>
      <c r="R50" s="90">
        <v>7.8</v>
      </c>
      <c r="S50" s="90">
        <v>7.86</v>
      </c>
      <c r="T50" s="90">
        <v>7.92</v>
      </c>
      <c r="U50" s="91">
        <v>7.98</v>
      </c>
      <c r="V50" s="90">
        <v>8.0399999999999991</v>
      </c>
      <c r="W50" s="90">
        <v>8.09</v>
      </c>
      <c r="X50" s="90">
        <v>8.15</v>
      </c>
      <c r="Y50" s="90">
        <v>8.2100000000000009</v>
      </c>
      <c r="Z50" s="90">
        <v>8.27</v>
      </c>
      <c r="AA50" s="90">
        <v>8.33</v>
      </c>
      <c r="AB50" s="90">
        <v>8.39</v>
      </c>
      <c r="AC50" s="90">
        <v>8.4499999999999993</v>
      </c>
      <c r="AD50" s="90">
        <v>8.51</v>
      </c>
      <c r="AE50" s="90">
        <v>8.57</v>
      </c>
      <c r="AF50" s="90">
        <v>8.6300000000000008</v>
      </c>
      <c r="AG50" s="90">
        <v>8.68</v>
      </c>
      <c r="AH50" s="90">
        <v>8.74</v>
      </c>
      <c r="AI50" s="90">
        <v>8.8000000000000007</v>
      </c>
      <c r="AJ50" s="90">
        <v>8.86</v>
      </c>
      <c r="AK50" s="90">
        <v>8.92</v>
      </c>
      <c r="AL50" s="90">
        <v>8.98</v>
      </c>
      <c r="AM50" s="90">
        <v>9.0399999999999991</v>
      </c>
      <c r="AN50" s="90">
        <v>9.1</v>
      </c>
      <c r="AO50" s="91">
        <v>9.16</v>
      </c>
      <c r="AP50" s="90">
        <v>9.2165769230769197</v>
      </c>
      <c r="AQ50" s="90">
        <v>9.2756416510319006</v>
      </c>
      <c r="AR50" s="90">
        <v>9.3347063789868692</v>
      </c>
      <c r="AS50" s="90">
        <v>9.3937711069418395</v>
      </c>
      <c r="AT50" s="90">
        <v>9.4528358348968098</v>
      </c>
      <c r="AU50" s="90">
        <v>9.5119005628517801</v>
      </c>
      <c r="AV50" s="90">
        <v>9.5709652908067593</v>
      </c>
      <c r="AW50" s="90">
        <v>9.6300300187617296</v>
      </c>
      <c r="AX50" s="90">
        <v>9.6890947467166999</v>
      </c>
      <c r="AY50" s="90">
        <v>9.7481594746716702</v>
      </c>
      <c r="AZ50" s="90">
        <v>9.8072242026266405</v>
      </c>
      <c r="BA50" s="90">
        <v>9.8662889305816197</v>
      </c>
      <c r="BB50" s="90">
        <v>9.92535365853659</v>
      </c>
      <c r="BC50" s="90">
        <v>9.9844183864915603</v>
      </c>
      <c r="BD50" s="90">
        <v>10.0434831144465</v>
      </c>
      <c r="BE50" s="90">
        <v>10.102547842401499</v>
      </c>
      <c r="BF50" s="90">
        <v>10.1616125703565</v>
      </c>
      <c r="BG50" s="90">
        <v>10.2206772983115</v>
      </c>
      <c r="BH50" s="90">
        <v>10.279742026266399</v>
      </c>
      <c r="BI50" s="91">
        <v>10.3388067542214</v>
      </c>
      <c r="BJ50" s="90">
        <v>10.3978714821764</v>
      </c>
      <c r="BK50" s="99">
        <v>10.4569362101313</v>
      </c>
      <c r="BL50" s="99">
        <v>10.5160009380863</v>
      </c>
      <c r="BM50" s="99">
        <v>10.575065666041301</v>
      </c>
      <c r="BN50" s="99">
        <v>10.634130393996299</v>
      </c>
      <c r="BO50" s="99">
        <v>10.6931951219512</v>
      </c>
      <c r="BP50" s="99">
        <v>10.752259849906199</v>
      </c>
      <c r="BQ50" s="99">
        <v>10.8113245778612</v>
      </c>
      <c r="BR50" s="99">
        <v>10.870389305816101</v>
      </c>
      <c r="BS50" s="99">
        <v>10.929454033771099</v>
      </c>
      <c r="BT50" s="99">
        <v>10.9885187617261</v>
      </c>
      <c r="BU50" s="99">
        <v>11.0475834896811</v>
      </c>
      <c r="BV50" s="99">
        <v>11.106648217636</v>
      </c>
      <c r="BW50" s="99">
        <v>11.165712945591</v>
      </c>
      <c r="BX50" s="99">
        <v>11.224777673546001</v>
      </c>
      <c r="BY50" s="99">
        <v>11.2838424015009</v>
      </c>
      <c r="BZ50" s="99">
        <v>11.342907129455901</v>
      </c>
      <c r="CA50" s="99">
        <v>11.401971857410899</v>
      </c>
      <c r="CB50" s="99">
        <v>11.4610365853659</v>
      </c>
      <c r="CC50" s="99">
        <v>11.520101313320801</v>
      </c>
      <c r="CD50" s="99">
        <v>11.5791660412758</v>
      </c>
      <c r="CE50" s="99">
        <v>11.6382307692308</v>
      </c>
      <c r="CF50" s="99">
        <v>11.697295497185699</v>
      </c>
      <c r="CG50" s="99">
        <v>11.7563602251407</v>
      </c>
      <c r="CH50" s="99">
        <v>11.8154249530957</v>
      </c>
      <c r="CI50" s="99">
        <v>11.874489681050701</v>
      </c>
      <c r="CJ50" s="99">
        <v>11.9335544090056</v>
      </c>
      <c r="CK50" s="99">
        <v>11.992619136960601</v>
      </c>
      <c r="CL50" s="99">
        <v>12.051683864915599</v>
      </c>
      <c r="CM50" s="99">
        <v>12.1107485928706</v>
      </c>
      <c r="CN50" s="99">
        <v>12.169813320825501</v>
      </c>
      <c r="CO50" s="99">
        <v>12.2288780487805</v>
      </c>
      <c r="CP50" s="99">
        <v>12.2879427767355</v>
      </c>
      <c r="CQ50" s="99">
        <v>12.347007504690399</v>
      </c>
      <c r="CR50" s="99">
        <v>12.4060722326454</v>
      </c>
      <c r="CS50" s="99">
        <v>12.4651369606004</v>
      </c>
      <c r="CT50" s="99">
        <v>12.524201688555401</v>
      </c>
      <c r="CU50" s="99">
        <v>12.5832664165103</v>
      </c>
      <c r="CV50" s="99">
        <v>12.642331144465301</v>
      </c>
      <c r="CW50" s="99">
        <v>12.701395872420299</v>
      </c>
      <c r="CX50" s="99">
        <v>12.7604606003752</v>
      </c>
      <c r="CY50" s="99">
        <v>12.819525328330201</v>
      </c>
      <c r="CZ50" s="99">
        <v>12.8785900562852</v>
      </c>
      <c r="DA50" s="99">
        <v>12.9376547842402</v>
      </c>
      <c r="DB50" s="99">
        <v>12.996719512195099</v>
      </c>
      <c r="DC50" s="99">
        <v>13.0557842401501</v>
      </c>
      <c r="DD50" s="99">
        <v>13.1148489681051</v>
      </c>
      <c r="DE50" s="99">
        <v>13.17391369606</v>
      </c>
      <c r="DF50" s="99">
        <v>13.232978424015</v>
      </c>
      <c r="DG50" s="99">
        <v>13.292043151970001</v>
      </c>
      <c r="DH50" s="99">
        <v>13.351107879924999</v>
      </c>
      <c r="DI50" s="99">
        <v>13.4101726078799</v>
      </c>
      <c r="DJ50" s="99">
        <v>13.469237335834899</v>
      </c>
      <c r="DK50" s="99">
        <v>13.5283020637899</v>
      </c>
      <c r="DL50" s="99">
        <v>13.587366791744801</v>
      </c>
      <c r="DM50" s="99">
        <v>13.646431519699799</v>
      </c>
      <c r="DN50" s="99">
        <v>13.7054962476548</v>
      </c>
      <c r="DO50" s="99">
        <v>13.7645609756098</v>
      </c>
      <c r="DP50" s="99">
        <v>13.8236257035647</v>
      </c>
      <c r="DQ50" s="99">
        <v>13.8826904315197</v>
      </c>
      <c r="DR50" s="99">
        <v>13.941755159474701</v>
      </c>
      <c r="DS50" s="99">
        <v>14.000819887429699</v>
      </c>
      <c r="DT50" s="99">
        <v>14.0598846153846</v>
      </c>
      <c r="DU50" s="99">
        <v>14.118949343339599</v>
      </c>
      <c r="DV50" s="99">
        <v>14.1780140712946</v>
      </c>
      <c r="DW50" s="99">
        <v>14.237078799249501</v>
      </c>
      <c r="DX50" s="99">
        <v>14.296143527204499</v>
      </c>
      <c r="DY50" s="99">
        <v>14.3552082551595</v>
      </c>
      <c r="DZ50" s="99">
        <v>14.4142729831145</v>
      </c>
      <c r="EA50" s="99">
        <v>14.4733377110694</v>
      </c>
      <c r="EB50" s="99">
        <v>14.5324024390244</v>
      </c>
      <c r="EC50" s="99">
        <v>14.591467166979401</v>
      </c>
      <c r="ED50" s="99">
        <v>14.6505318949343</v>
      </c>
      <c r="EE50" s="99">
        <v>14.7095966228893</v>
      </c>
      <c r="EF50" s="99">
        <v>14.768661350844299</v>
      </c>
      <c r="EG50" s="99">
        <v>14.8277260787993</v>
      </c>
      <c r="EH50" s="99">
        <v>14.886790806754201</v>
      </c>
      <c r="EI50" s="99">
        <v>14.945855534709199</v>
      </c>
      <c r="EJ50" s="99">
        <v>15.0049202626642</v>
      </c>
      <c r="EK50" s="99">
        <v>15.063984990619099</v>
      </c>
      <c r="EL50" s="99">
        <v>15.1230497185741</v>
      </c>
      <c r="EM50" s="99">
        <v>15.1821144465291</v>
      </c>
      <c r="EN50" s="99">
        <v>15.241179174484101</v>
      </c>
      <c r="EO50" s="99">
        <v>15.300243902439</v>
      </c>
      <c r="EP50" s="99">
        <v>15.359308630394001</v>
      </c>
      <c r="EQ50" s="99">
        <v>15.418373358348999</v>
      </c>
      <c r="ER50" s="99">
        <v>15.4774380863039</v>
      </c>
      <c r="ES50" s="99">
        <v>15.536502814258901</v>
      </c>
      <c r="ET50" s="99">
        <v>15.5955675422139</v>
      </c>
      <c r="EU50" s="99">
        <v>15.6546322701689</v>
      </c>
      <c r="EV50" s="99">
        <v>15.713696998123799</v>
      </c>
      <c r="EW50" s="99">
        <v>15.7727617260788</v>
      </c>
      <c r="EX50" s="99">
        <v>15.8318264540338</v>
      </c>
      <c r="EY50" s="99">
        <v>15.890891181988801</v>
      </c>
      <c r="EZ50" s="99">
        <v>15.9499559099437</v>
      </c>
      <c r="FA50" s="99">
        <v>16.009020637898701</v>
      </c>
      <c r="FB50" s="99">
        <v>16.068085365853701</v>
      </c>
      <c r="FC50" s="99">
        <v>16.127150093808599</v>
      </c>
      <c r="FD50" s="99">
        <v>16.186214821763599</v>
      </c>
      <c r="FE50" s="99">
        <v>16.2452795497186</v>
      </c>
      <c r="FF50" s="99">
        <v>16.3043442776736</v>
      </c>
      <c r="FG50" s="99">
        <v>16.363409005628501</v>
      </c>
      <c r="FH50" s="99">
        <v>16.422473733583502</v>
      </c>
      <c r="FI50" s="99">
        <v>16.481538461538499</v>
      </c>
      <c r="FJ50" s="99">
        <v>16.5406031894934</v>
      </c>
      <c r="FK50" s="99">
        <v>16.5996679174484</v>
      </c>
      <c r="FL50" s="99">
        <v>16.658732645403401</v>
      </c>
      <c r="FM50" s="99">
        <v>16.717797373358401</v>
      </c>
      <c r="FN50" s="99">
        <v>16.776862101313299</v>
      </c>
      <c r="FO50" s="99">
        <v>16.835926829268299</v>
      </c>
      <c r="FP50" s="99">
        <v>16.8949915572232</v>
      </c>
      <c r="FQ50" s="99">
        <v>16.9540562851783</v>
      </c>
      <c r="FR50" s="99">
        <v>17.013121013133301</v>
      </c>
      <c r="FS50" s="99">
        <v>17.072185741088202</v>
      </c>
      <c r="FT50" s="99">
        <v>17.131250469043199</v>
      </c>
      <c r="FU50" s="99">
        <v>17.190315196998199</v>
      </c>
      <c r="FV50" s="99">
        <v>17.2493799249531</v>
      </c>
      <c r="FW50" s="99">
        <v>17.308444652908101</v>
      </c>
      <c r="FX50" s="99">
        <v>17.367509380863101</v>
      </c>
      <c r="FY50" s="99">
        <v>17.426574108818102</v>
      </c>
      <c r="FZ50" s="99">
        <v>17.485638836772999</v>
      </c>
      <c r="GA50" s="99">
        <v>17.5447035647279</v>
      </c>
      <c r="GB50" s="99">
        <v>17.603768292683</v>
      </c>
      <c r="GC50" s="99">
        <v>17.662833020638001</v>
      </c>
      <c r="GD50" s="99">
        <v>17.721897748592902</v>
      </c>
      <c r="GE50" s="99">
        <v>17.780962476547899</v>
      </c>
      <c r="GF50" s="99">
        <v>17.840027204502899</v>
      </c>
      <c r="GG50" s="99">
        <v>17.8990919324578</v>
      </c>
      <c r="GH50" s="99">
        <v>17.958156660412801</v>
      </c>
      <c r="GI50" s="99">
        <v>18.017221388367801</v>
      </c>
      <c r="GJ50" s="99">
        <v>18.076286116322802</v>
      </c>
      <c r="GK50" s="99">
        <v>18.135350844277699</v>
      </c>
      <c r="GL50" s="99">
        <v>18.1944155722326</v>
      </c>
      <c r="GM50" s="99">
        <v>18.2534803001877</v>
      </c>
      <c r="GN50" s="99">
        <v>18.312545028142601</v>
      </c>
      <c r="GO50" s="99">
        <v>18.371609756097602</v>
      </c>
      <c r="GP50" s="99">
        <v>18.430674484052599</v>
      </c>
      <c r="GQ50" s="99">
        <v>18.489739212007599</v>
      </c>
      <c r="GR50" s="99">
        <v>18.5488039399625</v>
      </c>
      <c r="GS50" s="99">
        <v>18.607868667917501</v>
      </c>
      <c r="GT50" s="99">
        <v>18.666933395872501</v>
      </c>
      <c r="GU50" s="99">
        <v>18.725998123827399</v>
      </c>
      <c r="GV50" s="99">
        <v>18.785062851782399</v>
      </c>
      <c r="GW50" s="99">
        <v>18.8441275797373</v>
      </c>
      <c r="GX50" s="99">
        <v>18.9031923076924</v>
      </c>
      <c r="GY50" s="99">
        <v>18.962257035647301</v>
      </c>
      <c r="GZ50" s="99">
        <v>19.021321763602302</v>
      </c>
      <c r="HA50" s="99">
        <v>19.080386491557299</v>
      </c>
      <c r="HB50" s="99">
        <v>19.1394512195122</v>
      </c>
      <c r="HC50" s="99">
        <v>19.1985159474672</v>
      </c>
      <c r="HD50" s="99">
        <v>19.257580675422201</v>
      </c>
      <c r="HE50" s="99">
        <v>19.316645403377201</v>
      </c>
      <c r="HF50" s="99">
        <v>19.375710131332099</v>
      </c>
      <c r="HG50" s="99">
        <v>19.434774859287099</v>
      </c>
      <c r="HH50" s="99">
        <v>19.4938395872421</v>
      </c>
      <c r="HI50" s="99">
        <v>19.5529043151971</v>
      </c>
      <c r="HJ50" s="99">
        <v>19.611969043152001</v>
      </c>
      <c r="HK50" s="99">
        <v>19.671033771106998</v>
      </c>
      <c r="HL50" s="99">
        <v>19.730098499061999</v>
      </c>
      <c r="HM50" s="99">
        <v>19.7891632270169</v>
      </c>
      <c r="HN50" s="99">
        <v>19.8482279549719</v>
      </c>
      <c r="HO50" s="99">
        <v>19.907292682926901</v>
      </c>
      <c r="HP50" s="99">
        <v>19.966357410881901</v>
      </c>
      <c r="HQ50" s="99">
        <v>20.025422138836799</v>
      </c>
      <c r="HR50" s="99">
        <v>20.084486866791799</v>
      </c>
      <c r="HS50" s="99">
        <v>20.1435515947468</v>
      </c>
      <c r="HT50" s="99">
        <v>20.202616322701701</v>
      </c>
      <c r="HU50" s="99">
        <v>20.261681050656701</v>
      </c>
      <c r="HV50" s="99">
        <v>20.320745778611698</v>
      </c>
      <c r="HW50" s="99">
        <v>20.379810506566699</v>
      </c>
      <c r="HX50" s="99">
        <v>20.4388752345216</v>
      </c>
      <c r="HY50" s="99">
        <v>20.4979399624766</v>
      </c>
      <c r="HZ50" s="99">
        <v>20.557004690431601</v>
      </c>
      <c r="IA50" s="99">
        <v>20.616069418386498</v>
      </c>
      <c r="IB50" s="99">
        <v>20.675134146341499</v>
      </c>
      <c r="IC50" s="99">
        <v>20.734198874296499</v>
      </c>
      <c r="ID50" s="99">
        <v>20.7932636022515</v>
      </c>
      <c r="IE50" s="99">
        <v>20.852328330206401</v>
      </c>
      <c r="IF50" s="99">
        <v>20.911393058161401</v>
      </c>
      <c r="IG50" s="99">
        <v>20.970457786116398</v>
      </c>
      <c r="IH50" s="99">
        <v>21.0295225140712</v>
      </c>
      <c r="II50" s="99">
        <v>21.0885872420263</v>
      </c>
      <c r="IJ50" s="99">
        <v>21.1476519699813</v>
      </c>
      <c r="IK50" s="99">
        <v>21.206716697936301</v>
      </c>
      <c r="IL50" s="99">
        <v>21.265781425891198</v>
      </c>
      <c r="IM50" s="99">
        <v>21.324846153846199</v>
      </c>
      <c r="IN50" s="99">
        <v>21.3839108818011</v>
      </c>
      <c r="IO50" s="99">
        <v>21.4429756097562</v>
      </c>
      <c r="IP50" s="99">
        <v>21.502040337711101</v>
      </c>
      <c r="IQ50" s="99">
        <v>21.561105065666101</v>
      </c>
      <c r="IR50" s="99">
        <v>21.620169793621098</v>
      </c>
      <c r="IS50" s="99">
        <v>21.6792345215759</v>
      </c>
      <c r="IT50" s="99">
        <v>21.738299249531</v>
      </c>
      <c r="IU50" s="99">
        <v>21.797363977486</v>
      </c>
      <c r="IV50" s="99">
        <v>21.856428705441001</v>
      </c>
      <c r="IW50" s="99">
        <v>21.915493433395898</v>
      </c>
      <c r="IX50" s="99">
        <v>21.974558161350899</v>
      </c>
      <c r="IY50" s="99">
        <v>22.0336228893058</v>
      </c>
      <c r="IZ50" s="99">
        <v>22.0926876172608</v>
      </c>
      <c r="JA50" s="99">
        <v>22.151752345215801</v>
      </c>
      <c r="JB50" s="99">
        <v>22.210817073170801</v>
      </c>
      <c r="JC50" s="99">
        <v>22.269881801125798</v>
      </c>
      <c r="JD50" s="99">
        <v>22.3289465290806</v>
      </c>
      <c r="JE50" s="99">
        <v>22.3880112570357</v>
      </c>
      <c r="JF50" s="99">
        <v>22.4470759849907</v>
      </c>
      <c r="JG50" s="99">
        <v>22.506140712945601</v>
      </c>
      <c r="JH50" s="99">
        <v>22.565205440900598</v>
      </c>
      <c r="JI50" s="99">
        <v>22.624270168855599</v>
      </c>
      <c r="JJ50" s="99">
        <v>22.6833348968105</v>
      </c>
      <c r="JK50" s="99">
        <v>22.7423996247655</v>
      </c>
      <c r="JL50" s="99">
        <v>22.801464352720501</v>
      </c>
      <c r="JM50" s="99">
        <v>22.860529080675501</v>
      </c>
      <c r="JN50" s="99">
        <v>22.919593808630498</v>
      </c>
      <c r="JO50" s="99">
        <v>22.978658536585399</v>
      </c>
      <c r="JP50" s="99">
        <v>23.0377232645404</v>
      </c>
      <c r="JQ50" s="99">
        <v>23.0967879924954</v>
      </c>
      <c r="JR50" s="99">
        <v>23.155852720450302</v>
      </c>
      <c r="JS50" s="99">
        <v>23.214917448405298</v>
      </c>
      <c r="JT50" s="99">
        <v>23.273982176360299</v>
      </c>
      <c r="JU50" s="99">
        <v>23.333046904315299</v>
      </c>
      <c r="JV50" s="99">
        <v>23.392111632270201</v>
      </c>
      <c r="JW50" s="99">
        <v>23.451176360225201</v>
      </c>
      <c r="JX50" s="99">
        <v>23.510241088180202</v>
      </c>
      <c r="JY50" s="99">
        <v>23.569305816135099</v>
      </c>
      <c r="JZ50" s="99">
        <v>23.6283705440901</v>
      </c>
      <c r="KA50" s="99">
        <v>23.6874352720451</v>
      </c>
      <c r="KB50" s="99">
        <v>23.746500000000101</v>
      </c>
      <c r="KC50" s="99">
        <v>23.805564727955002</v>
      </c>
      <c r="KD50" s="99">
        <v>23.864629455909999</v>
      </c>
      <c r="KE50" s="99">
        <v>23.923694183864999</v>
      </c>
      <c r="KF50" s="99">
        <v>23.9827589118199</v>
      </c>
      <c r="KG50" s="99">
        <v>24.041823639774901</v>
      </c>
      <c r="KH50" s="99">
        <v>24.100888367729901</v>
      </c>
      <c r="KI50" s="99">
        <v>24.159953095684902</v>
      </c>
      <c r="KJ50" s="99">
        <v>24.219017823639799</v>
      </c>
      <c r="KK50" s="99">
        <v>24.2780825515948</v>
      </c>
      <c r="KL50" s="99">
        <v>24.3371472795498</v>
      </c>
      <c r="KM50" s="99">
        <v>24.396212007504701</v>
      </c>
      <c r="KN50" s="99">
        <v>24.455276735459702</v>
      </c>
      <c r="KO50" s="99">
        <v>24.514341463414699</v>
      </c>
      <c r="KP50" s="99">
        <v>24.573406191369699</v>
      </c>
      <c r="KQ50" s="99">
        <v>24.6324709193246</v>
      </c>
      <c r="KR50" s="99">
        <v>24.691535647279601</v>
      </c>
      <c r="KS50" s="99">
        <v>24.750600375234601</v>
      </c>
      <c r="KT50" s="99">
        <v>24.809665103189499</v>
      </c>
      <c r="KU50" s="99">
        <v>24.868729831144499</v>
      </c>
      <c r="KV50" s="99">
        <v>24.9277945590995</v>
      </c>
      <c r="KW50" s="99">
        <v>24.9868592870545</v>
      </c>
      <c r="KX50" s="99">
        <v>25.045924015009401</v>
      </c>
      <c r="KY50" s="99">
        <v>25.104988742964402</v>
      </c>
      <c r="KZ50" s="99">
        <v>25.164053470919399</v>
      </c>
      <c r="LA50" s="99">
        <v>25.223118198874399</v>
      </c>
      <c r="LB50" s="99">
        <v>25.2821829268293</v>
      </c>
      <c r="LC50" s="99">
        <v>25.341247654784301</v>
      </c>
      <c r="LD50" s="99">
        <v>25.400312382739301</v>
      </c>
      <c r="LE50" s="99">
        <v>25.459377110694199</v>
      </c>
      <c r="LF50" s="99">
        <v>25.518441838649199</v>
      </c>
      <c r="LG50" s="99">
        <v>25.5775065666042</v>
      </c>
      <c r="LH50" s="99">
        <v>25.6365712945592</v>
      </c>
      <c r="LI50" s="99">
        <v>25.695636022514101</v>
      </c>
      <c r="LJ50" s="99">
        <v>25.754700750469102</v>
      </c>
      <c r="LK50" s="99">
        <v>25.813765478424099</v>
      </c>
      <c r="LL50" s="99">
        <v>25.872830206379</v>
      </c>
      <c r="LM50" s="99">
        <v>25.931894934334</v>
      </c>
      <c r="LN50" s="99">
        <v>25.990959662289001</v>
      </c>
      <c r="LO50" s="99">
        <v>26.050024390244001</v>
      </c>
      <c r="LP50" s="99">
        <v>26.109089118198899</v>
      </c>
      <c r="LQ50" s="99">
        <v>26.168153846153899</v>
      </c>
      <c r="LR50" s="99">
        <v>26.2272185741089</v>
      </c>
      <c r="LS50" s="99">
        <v>26.286283302063801</v>
      </c>
      <c r="LT50" s="99">
        <v>26.345348030018801</v>
      </c>
      <c r="LU50" s="99">
        <v>26.404412757973802</v>
      </c>
      <c r="LV50" s="99">
        <v>26.463477485928799</v>
      </c>
      <c r="LW50" s="99">
        <v>26.5225422138837</v>
      </c>
      <c r="LX50" s="99">
        <v>26.5816069418387</v>
      </c>
      <c r="LY50" s="99">
        <v>26.640671669793701</v>
      </c>
      <c r="LZ50" s="99">
        <v>26.699736397748602</v>
      </c>
      <c r="MA50" s="99">
        <v>26.758801125703599</v>
      </c>
      <c r="MB50" s="99">
        <v>26.817865853658599</v>
      </c>
      <c r="MC50" s="99">
        <v>26.8769305816136</v>
      </c>
      <c r="MD50" s="99">
        <v>26.935995309568501</v>
      </c>
      <c r="ME50" s="99">
        <v>26.995060037523501</v>
      </c>
      <c r="MF50" s="99">
        <v>27.054124765478502</v>
      </c>
      <c r="MG50" s="99">
        <v>27.113189493433499</v>
      </c>
      <c r="MH50" s="99">
        <v>27.1722542213884</v>
      </c>
      <c r="MI50" s="99">
        <v>27.2313189493434</v>
      </c>
      <c r="MJ50" s="99">
        <v>27.290383677298401</v>
      </c>
      <c r="MK50" s="99">
        <v>27.349448405253298</v>
      </c>
      <c r="ML50" s="99">
        <v>27.408513133208299</v>
      </c>
      <c r="MM50" s="99">
        <v>27.467577861163299</v>
      </c>
      <c r="MN50" s="99">
        <v>27.5266425891183</v>
      </c>
      <c r="MO50" s="99">
        <v>27.585707317073201</v>
      </c>
      <c r="MP50" s="99">
        <v>27.644772045028201</v>
      </c>
      <c r="MQ50" s="99">
        <v>27.703836772983198</v>
      </c>
      <c r="MR50" s="99">
        <v>27.762901500938099</v>
      </c>
      <c r="MS50" s="99">
        <v>27.8219662288931</v>
      </c>
      <c r="MT50" s="99">
        <v>27.8810309568481</v>
      </c>
      <c r="MU50" s="99">
        <v>27.940095684803101</v>
      </c>
      <c r="MV50" s="99">
        <v>27.999160412757998</v>
      </c>
      <c r="MW50" s="99">
        <v>28.058225140712999</v>
      </c>
      <c r="MX50" s="99">
        <v>28.117289868667999</v>
      </c>
      <c r="MY50" s="99">
        <v>28.1763545966229</v>
      </c>
      <c r="MZ50" s="99">
        <v>28.235419324577901</v>
      </c>
      <c r="NA50" s="99">
        <v>28.294484052532901</v>
      </c>
      <c r="NB50" s="99">
        <v>28.353548780487898</v>
      </c>
      <c r="NC50" s="99">
        <v>28.412613508442799</v>
      </c>
      <c r="ND50" s="99">
        <v>28.4716782363978</v>
      </c>
      <c r="NE50" s="99">
        <v>28.5307429643528</v>
      </c>
      <c r="NF50" s="99">
        <v>28.589807692307701</v>
      </c>
      <c r="NG50" s="99">
        <v>28.648872420262698</v>
      </c>
      <c r="NH50" s="99">
        <v>28.707937148217699</v>
      </c>
      <c r="NI50" s="99">
        <v>28.767001876172699</v>
      </c>
      <c r="NJ50" s="99">
        <v>28.8260666041276</v>
      </c>
      <c r="NK50" s="99">
        <v>28.885131332082601</v>
      </c>
      <c r="NL50" s="99">
        <v>28.944196060037601</v>
      </c>
      <c r="NM50" s="99">
        <v>29.003260787992598</v>
      </c>
      <c r="NN50" s="99">
        <v>29.062325515947499</v>
      </c>
      <c r="NO50" s="99">
        <v>29.1213902439025</v>
      </c>
      <c r="NP50" s="99">
        <v>29.1804549718575</v>
      </c>
      <c r="NQ50" s="99">
        <v>29.239519699812401</v>
      </c>
      <c r="NR50" s="99">
        <v>29.298584427767398</v>
      </c>
      <c r="NS50" s="99">
        <v>29.357649155722399</v>
      </c>
      <c r="NT50" s="99">
        <v>29.416713883677399</v>
      </c>
      <c r="NU50" s="99">
        <v>29.4757786116323</v>
      </c>
      <c r="NV50" s="99">
        <v>29.534843339587301</v>
      </c>
      <c r="NW50" s="99">
        <v>29.593908067542301</v>
      </c>
      <c r="NX50" s="99">
        <v>29.652972795497199</v>
      </c>
      <c r="NY50" s="99">
        <v>29.712037523452199</v>
      </c>
      <c r="NZ50" s="99">
        <v>29.7711022514072</v>
      </c>
      <c r="OA50" s="99">
        <v>29.8301669793622</v>
      </c>
      <c r="OB50" s="99">
        <v>29.889231707317101</v>
      </c>
      <c r="OC50" s="99">
        <v>29.948296435272098</v>
      </c>
      <c r="OD50" s="99">
        <v>30.007361163227099</v>
      </c>
      <c r="OE50" s="99">
        <v>30.066425891182</v>
      </c>
      <c r="OF50" s="99">
        <v>30.125490619137</v>
      </c>
      <c r="OG50" s="99">
        <v>30.184555347092001</v>
      </c>
      <c r="OH50" s="99">
        <v>30.243620075047001</v>
      </c>
      <c r="OI50" s="99">
        <v>30.302684803001899</v>
      </c>
      <c r="OJ50" s="99">
        <v>30.361749530956899</v>
      </c>
      <c r="OK50" s="99">
        <v>30.4208142589119</v>
      </c>
      <c r="OL50" s="99">
        <v>30.479878986866801</v>
      </c>
      <c r="OM50" s="99">
        <v>30.538943714821801</v>
      </c>
      <c r="ON50" s="99">
        <v>30.598008442776798</v>
      </c>
      <c r="OO50" s="99">
        <v>30.657073170731799</v>
      </c>
      <c r="OP50" s="99">
        <v>30.7161378986867</v>
      </c>
      <c r="OQ50" s="99">
        <v>30.7752026266417</v>
      </c>
      <c r="OR50" s="99">
        <v>30.834267354596701</v>
      </c>
      <c r="OS50" s="99">
        <v>30.893332082551598</v>
      </c>
      <c r="OT50" s="99">
        <v>30.952396810506599</v>
      </c>
      <c r="OU50" s="99">
        <v>31.011461538461599</v>
      </c>
      <c r="OV50" s="99">
        <v>31.0705262664166</v>
      </c>
      <c r="OW50" s="99">
        <v>31.129590994371501</v>
      </c>
      <c r="OX50" s="99">
        <v>31.188655722326502</v>
      </c>
      <c r="OY50" s="99">
        <v>31.247720450281498</v>
      </c>
      <c r="OZ50" s="99">
        <v>31.306785178236499</v>
      </c>
      <c r="PA50" s="99">
        <v>31.3658499061914</v>
      </c>
      <c r="PB50" s="99">
        <v>31.424914634146401</v>
      </c>
      <c r="PC50" s="99">
        <v>31.483979362101401</v>
      </c>
      <c r="PD50" s="99">
        <v>31.543044090056299</v>
      </c>
      <c r="PE50" s="99">
        <v>31.602108818011299</v>
      </c>
      <c r="PF50" s="99">
        <v>31.6611735459663</v>
      </c>
      <c r="PG50" s="99">
        <v>31.7202382739213</v>
      </c>
      <c r="PH50" s="99">
        <v>31.779303001876201</v>
      </c>
      <c r="PI50" s="99">
        <v>31.838367729831202</v>
      </c>
      <c r="PJ50" s="99">
        <v>31.897432457786199</v>
      </c>
      <c r="PK50" s="99">
        <v>31.9564971857411</v>
      </c>
      <c r="PL50" s="99">
        <v>32.015561913696096</v>
      </c>
      <c r="PM50" s="99">
        <v>32.074626641651101</v>
      </c>
      <c r="PN50" s="99">
        <v>32.133691369605998</v>
      </c>
      <c r="PO50" s="99">
        <v>32.192756097561002</v>
      </c>
      <c r="PP50" s="99">
        <v>32.2518208255159</v>
      </c>
      <c r="PQ50" s="99">
        <v>32.310885553471003</v>
      </c>
      <c r="PR50" s="99">
        <v>32.369950281425901</v>
      </c>
      <c r="PS50" s="99">
        <v>32.429015009380798</v>
      </c>
      <c r="PT50" s="99">
        <v>32.488079737335902</v>
      </c>
      <c r="PU50" s="99">
        <v>32.547144465290799</v>
      </c>
      <c r="PV50" s="99">
        <v>32.606209193245803</v>
      </c>
      <c r="PW50" s="99">
        <v>32.6652739212008</v>
      </c>
      <c r="PX50" s="99">
        <v>32.724338649155698</v>
      </c>
      <c r="PY50" s="99">
        <v>32.783403377110702</v>
      </c>
      <c r="PZ50" s="99">
        <v>32.842468105065599</v>
      </c>
      <c r="QA50" s="99">
        <v>32.901532833020703</v>
      </c>
      <c r="QB50" s="99">
        <v>32.9605975609756</v>
      </c>
      <c r="QC50" s="99">
        <v>33.019662288930498</v>
      </c>
      <c r="QD50" s="99">
        <v>33.078727016885601</v>
      </c>
      <c r="QE50" s="99">
        <v>33.137791744840499</v>
      </c>
      <c r="QF50" s="99">
        <v>33.196856472795602</v>
      </c>
      <c r="QG50" s="99">
        <v>33.2559212007504</v>
      </c>
      <c r="QH50" s="99">
        <v>33.314985928705497</v>
      </c>
      <c r="QI50" s="99">
        <v>33.374050656660501</v>
      </c>
      <c r="QJ50" s="99">
        <v>33.433115384615299</v>
      </c>
      <c r="QK50" s="99">
        <v>33.492180112570402</v>
      </c>
      <c r="QL50" s="99">
        <v>33.5512448405253</v>
      </c>
      <c r="QM50" s="99">
        <v>33.610309568480403</v>
      </c>
      <c r="QN50" s="99">
        <v>33.669374296435301</v>
      </c>
      <c r="QO50" s="99">
        <v>33.728439024390198</v>
      </c>
      <c r="QP50" s="99">
        <v>33.787503752345302</v>
      </c>
      <c r="QQ50" s="99">
        <v>33.8465684803001</v>
      </c>
      <c r="QR50" s="99">
        <v>33.905633208255203</v>
      </c>
      <c r="QS50" s="99">
        <v>33.9646979362102</v>
      </c>
      <c r="QT50" s="99">
        <v>34.023762664165098</v>
      </c>
      <c r="QU50" s="99">
        <v>34.082827392120102</v>
      </c>
      <c r="QV50" s="99">
        <v>34.141892120074999</v>
      </c>
      <c r="QW50" s="99">
        <v>34.200956848030103</v>
      </c>
      <c r="QX50" s="99">
        <v>34.260021575985</v>
      </c>
      <c r="QY50" s="99">
        <v>34.319086303939898</v>
      </c>
      <c r="QZ50" s="99">
        <v>34.378151031895001</v>
      </c>
      <c r="RA50" s="99">
        <v>34.437215759849899</v>
      </c>
      <c r="RB50" s="99">
        <v>34.496280487804903</v>
      </c>
      <c r="RC50" s="99">
        <v>34.5553452157598</v>
      </c>
      <c r="RD50" s="99">
        <v>34.614409943714897</v>
      </c>
      <c r="RE50" s="99">
        <v>34.673474671669801</v>
      </c>
      <c r="RF50" s="99">
        <v>34.732539399624699</v>
      </c>
      <c r="RG50" s="99">
        <v>34.791604127579802</v>
      </c>
      <c r="RH50" s="99">
        <v>34.8506688555347</v>
      </c>
      <c r="RI50" s="99">
        <v>34.909733583489597</v>
      </c>
      <c r="RJ50" s="99">
        <v>34.968798311444701</v>
      </c>
      <c r="RK50" s="99">
        <v>35.027863039399598</v>
      </c>
      <c r="RL50" s="99">
        <v>35.086927767354702</v>
      </c>
      <c r="RM50" s="99">
        <v>35.1459924953095</v>
      </c>
      <c r="RN50" s="99">
        <v>35.205057223264603</v>
      </c>
      <c r="RO50" s="99">
        <v>35.2641219512196</v>
      </c>
      <c r="RP50" s="99">
        <v>35.323186679174398</v>
      </c>
      <c r="RQ50" s="99">
        <v>35.382251407129502</v>
      </c>
      <c r="RR50" s="99">
        <v>35.441316135084399</v>
      </c>
      <c r="RS50" s="99">
        <v>35.500380863039503</v>
      </c>
      <c r="RT50" s="99">
        <v>35.5594455909944</v>
      </c>
      <c r="RU50" s="99">
        <v>35.618510318949298</v>
      </c>
      <c r="RV50" s="99">
        <v>35.677575046904401</v>
      </c>
      <c r="RW50" s="99">
        <v>35.736639774859199</v>
      </c>
      <c r="RX50" s="99">
        <v>35.795704502814303</v>
      </c>
      <c r="RY50" s="99">
        <v>35.8547692307693</v>
      </c>
      <c r="RZ50" s="99">
        <v>35.913833958724197</v>
      </c>
      <c r="SA50" s="99">
        <v>35.972898686679201</v>
      </c>
      <c r="SB50" s="99">
        <v>36.031963414634099</v>
      </c>
      <c r="SC50" s="99">
        <v>36.091028142589202</v>
      </c>
      <c r="SD50" s="99">
        <v>36.1500928705441</v>
      </c>
      <c r="SE50" s="99">
        <v>36.209157598498997</v>
      </c>
      <c r="SF50" s="99">
        <v>36.268222326454101</v>
      </c>
      <c r="SG50" s="99">
        <v>36.327287054408998</v>
      </c>
      <c r="SH50" s="99">
        <v>36.386351782364002</v>
      </c>
      <c r="SI50" s="99">
        <v>36.4454165103189</v>
      </c>
      <c r="SJ50" s="99">
        <v>36.504481238274003</v>
      </c>
      <c r="SK50" s="99">
        <v>36.563545966229</v>
      </c>
      <c r="SL50" s="99">
        <v>36.622610694183798</v>
      </c>
      <c r="SM50" s="99">
        <v>36.681675422138902</v>
      </c>
      <c r="SN50" s="99">
        <v>36.740740150093799</v>
      </c>
      <c r="SO50" s="99">
        <v>36.799804878048803</v>
      </c>
      <c r="SP50" s="99">
        <v>36.8588696060038</v>
      </c>
      <c r="SQ50" s="99">
        <v>36.917934333958698</v>
      </c>
      <c r="SR50" s="99">
        <v>36.976999061913801</v>
      </c>
      <c r="SS50" s="99">
        <v>37.036063789868599</v>
      </c>
      <c r="ST50" s="99">
        <v>37.095128517823703</v>
      </c>
      <c r="SU50" s="99">
        <v>37.1541932457787</v>
      </c>
      <c r="SV50" s="99">
        <v>37.213257973733498</v>
      </c>
      <c r="SW50" s="99">
        <v>37.272322701688601</v>
      </c>
      <c r="SX50" s="99">
        <v>37.331387429643499</v>
      </c>
      <c r="SY50" s="99">
        <v>37.390452157598602</v>
      </c>
      <c r="SZ50" s="99">
        <v>37.4495168855535</v>
      </c>
      <c r="TA50" s="99">
        <v>37.508581613508397</v>
      </c>
      <c r="TB50" s="99">
        <v>37.567646341463501</v>
      </c>
      <c r="TC50" s="99">
        <v>37.626711069418299</v>
      </c>
      <c r="TD50" s="99">
        <v>37.685775797373402</v>
      </c>
      <c r="TE50" s="99">
        <v>37.7448405253283</v>
      </c>
      <c r="TF50" s="99">
        <v>37.803905253283403</v>
      </c>
      <c r="TG50" s="99">
        <v>37.862969981238301</v>
      </c>
      <c r="TH50" s="99">
        <v>37.922034709193198</v>
      </c>
      <c r="TI50" s="99">
        <v>37.981099437148302</v>
      </c>
      <c r="TJ50" s="99">
        <v>38.0401641651031</v>
      </c>
      <c r="TK50" s="99">
        <v>38.099228893058203</v>
      </c>
      <c r="TL50" s="99">
        <v>38.1582936210132</v>
      </c>
      <c r="TM50" s="99">
        <v>38.217358348968098</v>
      </c>
      <c r="TN50" s="99">
        <v>38.276423076923102</v>
      </c>
      <c r="TO50" s="99">
        <v>38.335487804877999</v>
      </c>
      <c r="TP50" s="99">
        <v>38.394552532833103</v>
      </c>
      <c r="TQ50" s="99">
        <v>38.4536172607881</v>
      </c>
      <c r="TR50" s="99">
        <v>38.512681988742898</v>
      </c>
      <c r="TS50" s="99">
        <v>38.571746716698001</v>
      </c>
      <c r="TT50" s="99">
        <v>38.630811444652899</v>
      </c>
      <c r="TU50" s="99">
        <v>38.689876172607903</v>
      </c>
      <c r="TV50" s="99">
        <v>38.7489409005629</v>
      </c>
      <c r="TW50" s="99">
        <v>38.808005628517797</v>
      </c>
      <c r="TX50" s="99">
        <v>38.867070356472901</v>
      </c>
      <c r="TY50" s="99">
        <v>38.926135084427699</v>
      </c>
      <c r="TZ50" s="99">
        <v>38.985199812382803</v>
      </c>
      <c r="UA50" s="99">
        <v>39.0442645403377</v>
      </c>
      <c r="UB50" s="99">
        <v>39.103329268292697</v>
      </c>
      <c r="UC50" s="99">
        <v>39.162393996247701</v>
      </c>
      <c r="UD50" s="99">
        <v>39.221458724202698</v>
      </c>
      <c r="UE50" s="99">
        <v>39.280523452157702</v>
      </c>
      <c r="UF50" s="99">
        <v>39.3395881801125</v>
      </c>
      <c r="UG50" s="99">
        <v>39.398652908067596</v>
      </c>
      <c r="UH50" s="99">
        <v>39.457717636022601</v>
      </c>
      <c r="UI50" s="99">
        <v>39.516782363977498</v>
      </c>
      <c r="UJ50" s="99">
        <v>39.575847091932502</v>
      </c>
      <c r="UK50" s="99">
        <v>39.6349118198874</v>
      </c>
      <c r="UL50" s="99">
        <v>39.693976547842503</v>
      </c>
      <c r="UM50" s="99">
        <v>39.753041275797401</v>
      </c>
      <c r="UN50" s="99">
        <v>39.812106003752397</v>
      </c>
      <c r="UO50" s="99">
        <v>39.871170731707402</v>
      </c>
      <c r="UP50" s="99">
        <v>39.9302354596622</v>
      </c>
      <c r="UQ50" s="99">
        <v>39.989300187617303</v>
      </c>
      <c r="UR50" s="99">
        <v>40.0483649155723</v>
      </c>
      <c r="US50" s="99">
        <v>40.107429643527297</v>
      </c>
      <c r="UT50" s="99">
        <v>40.166494371482202</v>
      </c>
    </row>
    <row r="51" spans="1:566" x14ac:dyDescent="0.2">
      <c r="A51" s="89">
        <v>22.5</v>
      </c>
      <c r="B51" s="90">
        <v>6.79</v>
      </c>
      <c r="C51" s="90">
        <v>6.85</v>
      </c>
      <c r="D51" s="90">
        <v>6.9</v>
      </c>
      <c r="E51" s="90">
        <v>6.96</v>
      </c>
      <c r="F51" s="90">
        <v>7.02</v>
      </c>
      <c r="G51" s="90">
        <v>7.08</v>
      </c>
      <c r="H51" s="90">
        <v>7.14</v>
      </c>
      <c r="I51" s="90">
        <v>7.2</v>
      </c>
      <c r="J51" s="90">
        <v>7.26</v>
      </c>
      <c r="K51" s="90">
        <v>7.31</v>
      </c>
      <c r="L51" s="90">
        <v>7.37</v>
      </c>
      <c r="M51" s="90">
        <v>7.43</v>
      </c>
      <c r="N51" s="90">
        <v>7.49</v>
      </c>
      <c r="O51" s="90">
        <v>7.55</v>
      </c>
      <c r="P51" s="90">
        <v>7.61</v>
      </c>
      <c r="Q51" s="90">
        <v>7.67</v>
      </c>
      <c r="R51" s="90">
        <v>7.72</v>
      </c>
      <c r="S51" s="90">
        <v>7.78</v>
      </c>
      <c r="T51" s="90">
        <v>7.84</v>
      </c>
      <c r="U51" s="91">
        <v>7.9</v>
      </c>
      <c r="V51" s="90">
        <v>7.96</v>
      </c>
      <c r="W51" s="90">
        <v>8.02</v>
      </c>
      <c r="X51" s="90">
        <v>8.08</v>
      </c>
      <c r="Y51" s="90">
        <v>8.1300000000000008</v>
      </c>
      <c r="Z51" s="90">
        <v>8.19</v>
      </c>
      <c r="AA51" s="90">
        <v>8.25</v>
      </c>
      <c r="AB51" s="90">
        <v>8.31</v>
      </c>
      <c r="AC51" s="90">
        <v>8.3699999999999992</v>
      </c>
      <c r="AD51" s="90">
        <v>8.43</v>
      </c>
      <c r="AE51" s="90">
        <v>8.48</v>
      </c>
      <c r="AF51" s="90">
        <v>8.5399999999999991</v>
      </c>
      <c r="AG51" s="90">
        <v>8.6</v>
      </c>
      <c r="AH51" s="90">
        <v>8.66</v>
      </c>
      <c r="AI51" s="90">
        <v>8.7200000000000006</v>
      </c>
      <c r="AJ51" s="90">
        <v>8.7799999999999994</v>
      </c>
      <c r="AK51" s="90">
        <v>8.84</v>
      </c>
      <c r="AL51" s="90">
        <v>8.89</v>
      </c>
      <c r="AM51" s="90">
        <v>8.9499999999999993</v>
      </c>
      <c r="AN51" s="90">
        <v>9.01</v>
      </c>
      <c r="AO51" s="91">
        <v>9.07</v>
      </c>
      <c r="AP51" s="90">
        <v>9.1281153846153895</v>
      </c>
      <c r="AQ51" s="90">
        <v>9.1866210131332107</v>
      </c>
      <c r="AR51" s="90">
        <v>9.24512664165103</v>
      </c>
      <c r="AS51" s="90">
        <v>9.3036322701688601</v>
      </c>
      <c r="AT51" s="90">
        <v>9.3621378986866794</v>
      </c>
      <c r="AU51" s="90">
        <v>9.4206435272045006</v>
      </c>
      <c r="AV51" s="90">
        <v>9.4791491557223306</v>
      </c>
      <c r="AW51" s="90">
        <v>9.53765478424015</v>
      </c>
      <c r="AX51" s="90">
        <v>9.59616041275798</v>
      </c>
      <c r="AY51" s="90">
        <v>9.6546660412757994</v>
      </c>
      <c r="AZ51" s="90">
        <v>9.7131716697936206</v>
      </c>
      <c r="BA51" s="90">
        <v>9.7716772983114506</v>
      </c>
      <c r="BB51" s="90">
        <v>9.83018292682927</v>
      </c>
      <c r="BC51" s="90">
        <v>9.8886885553470893</v>
      </c>
      <c r="BD51" s="90">
        <v>9.9471941838649194</v>
      </c>
      <c r="BE51" s="90">
        <v>10.0056998123827</v>
      </c>
      <c r="BF51" s="90">
        <v>10.064205440900601</v>
      </c>
      <c r="BG51" s="90">
        <v>10.122711069418401</v>
      </c>
      <c r="BH51" s="90">
        <v>10.1812166979362</v>
      </c>
      <c r="BI51" s="91">
        <v>10.239722326454</v>
      </c>
      <c r="BJ51" s="90">
        <v>10.2982279549719</v>
      </c>
      <c r="BK51" s="99">
        <v>10.356733583489699</v>
      </c>
      <c r="BL51" s="99">
        <v>10.415239212007499</v>
      </c>
      <c r="BM51" s="99">
        <v>10.473744840525301</v>
      </c>
      <c r="BN51" s="99">
        <v>10.532250469043101</v>
      </c>
      <c r="BO51" s="99">
        <v>10.590756097561</v>
      </c>
      <c r="BP51" s="99">
        <v>10.6492617260788</v>
      </c>
      <c r="BQ51" s="99">
        <v>10.7077673545966</v>
      </c>
      <c r="BR51" s="99">
        <v>10.7662729831144</v>
      </c>
      <c r="BS51" s="99">
        <v>10.824778611632301</v>
      </c>
      <c r="BT51" s="99">
        <v>10.8832842401501</v>
      </c>
      <c r="BU51" s="99">
        <v>10.9417898686679</v>
      </c>
      <c r="BV51" s="99">
        <v>11.0002954971857</v>
      </c>
      <c r="BW51" s="99">
        <v>11.058801125703599</v>
      </c>
      <c r="BX51" s="99">
        <v>11.117306754221399</v>
      </c>
      <c r="BY51" s="99">
        <v>11.175812382739201</v>
      </c>
      <c r="BZ51" s="99">
        <v>11.234318011257001</v>
      </c>
      <c r="CA51" s="99">
        <v>11.2928236397749</v>
      </c>
      <c r="CB51" s="99">
        <v>11.3513292682927</v>
      </c>
      <c r="CC51" s="99">
        <v>11.4098348968105</v>
      </c>
      <c r="CD51" s="99">
        <v>11.4683405253283</v>
      </c>
      <c r="CE51" s="99">
        <v>11.526846153846201</v>
      </c>
      <c r="CF51" s="99">
        <v>11.585351782364</v>
      </c>
      <c r="CG51" s="99">
        <v>11.6438574108818</v>
      </c>
      <c r="CH51" s="99">
        <v>11.7023630393996</v>
      </c>
      <c r="CI51" s="99">
        <v>11.7608686679174</v>
      </c>
      <c r="CJ51" s="99">
        <v>11.819374296435299</v>
      </c>
      <c r="CK51" s="99">
        <v>11.877879924953101</v>
      </c>
      <c r="CL51" s="99">
        <v>11.936385553470901</v>
      </c>
      <c r="CM51" s="99">
        <v>11.994891181988701</v>
      </c>
      <c r="CN51" s="99">
        <v>12.0533968105066</v>
      </c>
      <c r="CO51" s="99">
        <v>12.1119024390244</v>
      </c>
      <c r="CP51" s="99">
        <v>12.1704080675422</v>
      </c>
      <c r="CQ51" s="99">
        <v>12.228913696059999</v>
      </c>
      <c r="CR51" s="99">
        <v>12.2874193245779</v>
      </c>
      <c r="CS51" s="99">
        <v>12.3459249530957</v>
      </c>
      <c r="CT51" s="99">
        <v>12.4044305816135</v>
      </c>
      <c r="CU51" s="99">
        <v>12.4629362101313</v>
      </c>
      <c r="CV51" s="99">
        <v>12.521441838649199</v>
      </c>
      <c r="CW51" s="99">
        <v>12.579947467167001</v>
      </c>
      <c r="CX51" s="99">
        <v>12.638453095684801</v>
      </c>
      <c r="CY51" s="99">
        <v>12.696958724202601</v>
      </c>
      <c r="CZ51" s="99">
        <v>12.7554643527204</v>
      </c>
      <c r="DA51" s="99">
        <v>12.8139699812383</v>
      </c>
      <c r="DB51" s="99">
        <v>12.8724756097561</v>
      </c>
      <c r="DC51" s="99">
        <v>12.930981238273899</v>
      </c>
      <c r="DD51" s="99">
        <v>12.989486866791699</v>
      </c>
      <c r="DE51" s="99">
        <v>13.0479924953096</v>
      </c>
      <c r="DF51" s="99">
        <v>13.1064981238274</v>
      </c>
      <c r="DG51" s="99">
        <v>13.1650037523452</v>
      </c>
      <c r="DH51" s="99">
        <v>13.223509380863</v>
      </c>
      <c r="DI51" s="99">
        <v>13.282015009380901</v>
      </c>
      <c r="DJ51" s="99">
        <v>13.340520637898701</v>
      </c>
      <c r="DK51" s="99">
        <v>13.399026266416501</v>
      </c>
      <c r="DL51" s="99">
        <v>13.4575318949343</v>
      </c>
      <c r="DM51" s="99">
        <v>13.5160375234522</v>
      </c>
      <c r="DN51" s="99">
        <v>13.574543151969999</v>
      </c>
      <c r="DO51" s="99">
        <v>13.633048780487799</v>
      </c>
      <c r="DP51" s="99">
        <v>13.691554409005599</v>
      </c>
      <c r="DQ51" s="99">
        <v>13.7500600375235</v>
      </c>
      <c r="DR51" s="99">
        <v>13.8085656660413</v>
      </c>
      <c r="DS51" s="99">
        <v>13.8670712945591</v>
      </c>
      <c r="DT51" s="99">
        <v>13.9255769230769</v>
      </c>
      <c r="DU51" s="99">
        <v>13.9840825515947</v>
      </c>
      <c r="DV51" s="99">
        <v>14.042588180112601</v>
      </c>
      <c r="DW51" s="99">
        <v>14.101093808630401</v>
      </c>
      <c r="DX51" s="99">
        <v>14.1595994371482</v>
      </c>
      <c r="DY51" s="99">
        <v>14.218105065666</v>
      </c>
      <c r="DZ51" s="99">
        <v>14.276610694183899</v>
      </c>
      <c r="EA51" s="99">
        <v>14.335116322701699</v>
      </c>
      <c r="EB51" s="99">
        <v>14.393621951219499</v>
      </c>
      <c r="EC51" s="99">
        <v>14.452127579737301</v>
      </c>
      <c r="ED51" s="99">
        <v>14.5106332082552</v>
      </c>
      <c r="EE51" s="99">
        <v>14.569138836773</v>
      </c>
      <c r="EF51" s="99">
        <v>14.6276444652908</v>
      </c>
      <c r="EG51" s="99">
        <v>14.6861500938086</v>
      </c>
      <c r="EH51" s="99">
        <v>14.744655722326501</v>
      </c>
      <c r="EI51" s="99">
        <v>14.803161350844301</v>
      </c>
      <c r="EJ51" s="99">
        <v>14.8616669793621</v>
      </c>
      <c r="EK51" s="99">
        <v>14.9201726078799</v>
      </c>
      <c r="EL51" s="99">
        <v>14.9786782363977</v>
      </c>
      <c r="EM51" s="99">
        <v>15.037183864915599</v>
      </c>
      <c r="EN51" s="99">
        <v>15.095689493433399</v>
      </c>
      <c r="EO51" s="99">
        <v>15.154195121951201</v>
      </c>
      <c r="EP51" s="99">
        <v>15.212700750469001</v>
      </c>
      <c r="EQ51" s="99">
        <v>15.2712063789869</v>
      </c>
      <c r="ER51" s="99">
        <v>15.3297120075047</v>
      </c>
      <c r="ES51" s="99">
        <v>15.3882176360225</v>
      </c>
      <c r="ET51" s="99">
        <v>15.446723264540299</v>
      </c>
      <c r="EU51" s="99">
        <v>15.505228893058201</v>
      </c>
      <c r="EV51" s="99">
        <v>15.563734521576</v>
      </c>
      <c r="EW51" s="99">
        <v>15.6222401500938</v>
      </c>
      <c r="EX51" s="99">
        <v>15.6807457786116</v>
      </c>
      <c r="EY51" s="99">
        <v>15.739251407129499</v>
      </c>
      <c r="EZ51" s="99">
        <v>15.797757035647299</v>
      </c>
      <c r="FA51" s="99">
        <v>15.856262664165101</v>
      </c>
      <c r="FB51" s="99">
        <v>15.914768292682901</v>
      </c>
      <c r="FC51" s="99">
        <v>15.9732739212007</v>
      </c>
      <c r="FD51" s="99">
        <v>16.0317795497186</v>
      </c>
      <c r="FE51" s="99">
        <v>16.0902851782364</v>
      </c>
      <c r="FF51" s="99">
        <v>16.148790806754199</v>
      </c>
      <c r="FG51" s="99">
        <v>16.207296435271999</v>
      </c>
      <c r="FH51" s="99">
        <v>16.265802063789899</v>
      </c>
      <c r="FI51" s="99">
        <v>16.324307692307698</v>
      </c>
      <c r="FJ51" s="99">
        <v>16.382813320825498</v>
      </c>
      <c r="FK51" s="99">
        <v>16.441318949343302</v>
      </c>
      <c r="FL51" s="99">
        <v>16.499824577861201</v>
      </c>
      <c r="FM51" s="99">
        <v>16.558330206379001</v>
      </c>
      <c r="FN51" s="99">
        <v>16.616835834896801</v>
      </c>
      <c r="FO51" s="99">
        <v>16.6753414634146</v>
      </c>
      <c r="FP51" s="99">
        <v>16.7338470919325</v>
      </c>
      <c r="FQ51" s="99">
        <v>16.7923527204502</v>
      </c>
      <c r="FR51" s="99">
        <v>16.850858348968099</v>
      </c>
      <c r="FS51" s="99">
        <v>16.909363977485899</v>
      </c>
      <c r="FT51" s="99">
        <v>16.967869606003699</v>
      </c>
      <c r="FU51" s="99">
        <v>17.026375234521499</v>
      </c>
      <c r="FV51" s="99">
        <v>17.084880863039398</v>
      </c>
      <c r="FW51" s="99">
        <v>17.143386491557202</v>
      </c>
      <c r="FX51" s="99">
        <v>17.201892120075001</v>
      </c>
      <c r="FY51" s="99">
        <v>17.260397748592801</v>
      </c>
      <c r="FZ51" s="99">
        <v>17.318903377110701</v>
      </c>
      <c r="GA51" s="99">
        <v>17.3774090056285</v>
      </c>
      <c r="GB51" s="99">
        <v>17.4359146341463</v>
      </c>
      <c r="GC51" s="99">
        <v>17.4944202626641</v>
      </c>
      <c r="GD51" s="99">
        <v>17.552925891181999</v>
      </c>
      <c r="GE51" s="99">
        <v>17.611431519699799</v>
      </c>
      <c r="GF51" s="99">
        <v>17.669937148217599</v>
      </c>
      <c r="GG51" s="99">
        <v>17.728442776735399</v>
      </c>
      <c r="GH51" s="99">
        <v>17.786948405253199</v>
      </c>
      <c r="GI51" s="99">
        <v>17.845454033771102</v>
      </c>
      <c r="GJ51" s="99">
        <v>17.903959662288901</v>
      </c>
      <c r="GK51" s="99">
        <v>17.962465290806701</v>
      </c>
      <c r="GL51" s="99">
        <v>18.020970919324501</v>
      </c>
      <c r="GM51" s="99">
        <v>18.0794765478424</v>
      </c>
      <c r="GN51" s="99">
        <v>18.1379821763602</v>
      </c>
      <c r="GO51" s="99">
        <v>18.196487804878</v>
      </c>
      <c r="GP51" s="99">
        <v>18.2549934333958</v>
      </c>
      <c r="GQ51" s="99">
        <v>18.313499061913699</v>
      </c>
      <c r="GR51" s="99">
        <v>18.372004690431499</v>
      </c>
      <c r="GS51" s="99">
        <v>18.430510318949299</v>
      </c>
      <c r="GT51" s="99">
        <v>18.489015947467099</v>
      </c>
      <c r="GU51" s="99">
        <v>18.547521575985002</v>
      </c>
      <c r="GV51" s="99">
        <v>18.606027204502801</v>
      </c>
      <c r="GW51" s="99">
        <v>18.664532833020601</v>
      </c>
      <c r="GX51" s="99">
        <v>18.723038461538401</v>
      </c>
      <c r="GY51" s="99">
        <v>18.781544090056201</v>
      </c>
      <c r="GZ51" s="99">
        <v>18.8400497185741</v>
      </c>
      <c r="HA51" s="99">
        <v>18.8985553470919</v>
      </c>
      <c r="HB51" s="99">
        <v>18.9570609756097</v>
      </c>
      <c r="HC51" s="99">
        <v>19.0155666041275</v>
      </c>
      <c r="HD51" s="99">
        <v>19.074072232645399</v>
      </c>
      <c r="HE51" s="99">
        <v>19.132577861163199</v>
      </c>
      <c r="HF51" s="99">
        <v>19.191083489680999</v>
      </c>
      <c r="HG51" s="99">
        <v>19.249589118198799</v>
      </c>
      <c r="HH51" s="99">
        <v>19.308094746716701</v>
      </c>
      <c r="HI51" s="99">
        <v>19.366600375234501</v>
      </c>
      <c r="HJ51" s="99">
        <v>19.425106003752301</v>
      </c>
      <c r="HK51" s="99">
        <v>19.483611632270101</v>
      </c>
      <c r="HL51" s="99">
        <v>19.542117260788</v>
      </c>
      <c r="HM51" s="99">
        <v>19.6006228893058</v>
      </c>
      <c r="HN51" s="99">
        <v>19.6591285178236</v>
      </c>
      <c r="HO51" s="99">
        <v>19.7176341463414</v>
      </c>
      <c r="HP51" s="99">
        <v>19.776139774859299</v>
      </c>
      <c r="HQ51" s="99">
        <v>19.834645403377099</v>
      </c>
      <c r="HR51" s="99">
        <v>19.893151031894899</v>
      </c>
      <c r="HS51" s="99">
        <v>19.951656660412699</v>
      </c>
      <c r="HT51" s="99">
        <v>20.010162288930498</v>
      </c>
      <c r="HU51" s="99">
        <v>20.068667917448401</v>
      </c>
      <c r="HV51" s="99">
        <v>20.127173545966201</v>
      </c>
      <c r="HW51" s="99">
        <v>20.185679174484001</v>
      </c>
      <c r="HX51" s="99">
        <v>20.244184803001801</v>
      </c>
      <c r="HY51" s="99">
        <v>20.3026904315197</v>
      </c>
      <c r="HZ51" s="99">
        <v>20.3611960600375</v>
      </c>
      <c r="IA51" s="99">
        <v>20.4197016885553</v>
      </c>
      <c r="IB51" s="99">
        <v>20.4782073170731</v>
      </c>
      <c r="IC51" s="99">
        <v>20.536712945590999</v>
      </c>
      <c r="ID51" s="99">
        <v>20.595218574108799</v>
      </c>
      <c r="IE51" s="99">
        <v>20.653724202626599</v>
      </c>
      <c r="IF51" s="99">
        <v>20.712229831144398</v>
      </c>
      <c r="IG51" s="99">
        <v>20.770735459662301</v>
      </c>
      <c r="IH51" s="99">
        <v>20.829241088180101</v>
      </c>
      <c r="II51" s="99">
        <v>20.887746716697901</v>
      </c>
      <c r="IJ51" s="99">
        <v>20.946252345215701</v>
      </c>
      <c r="IK51" s="99">
        <v>21.004757973733501</v>
      </c>
      <c r="IL51" s="99">
        <v>21.0632636022514</v>
      </c>
      <c r="IM51" s="99">
        <v>21.1217692307692</v>
      </c>
      <c r="IN51" s="99">
        <v>21.180274859287</v>
      </c>
      <c r="IO51" s="99">
        <v>21.238780487804799</v>
      </c>
      <c r="IP51" s="99">
        <v>21.297286116322699</v>
      </c>
      <c r="IQ51" s="99">
        <v>21.355791744840499</v>
      </c>
      <c r="IR51" s="99">
        <v>21.414297373358298</v>
      </c>
      <c r="IS51" s="99">
        <v>21.472803001876098</v>
      </c>
      <c r="IT51" s="99">
        <v>21.531308630394001</v>
      </c>
      <c r="IU51" s="99">
        <v>21.589814258911801</v>
      </c>
      <c r="IV51" s="99">
        <v>21.648319887429601</v>
      </c>
      <c r="IW51" s="99">
        <v>21.706825515947401</v>
      </c>
      <c r="IX51" s="99">
        <v>21.7653311444653</v>
      </c>
      <c r="IY51" s="99">
        <v>21.8238367729831</v>
      </c>
      <c r="IZ51" s="99">
        <v>21.8823424015009</v>
      </c>
      <c r="JA51" s="99">
        <v>21.940848030018699</v>
      </c>
      <c r="JB51" s="99">
        <v>21.999353658536599</v>
      </c>
      <c r="JC51" s="99">
        <v>22.057859287054399</v>
      </c>
      <c r="JD51" s="99">
        <v>22.116364915572198</v>
      </c>
      <c r="JE51" s="99">
        <v>22.174870544089998</v>
      </c>
      <c r="JF51" s="99">
        <v>22.233376172607802</v>
      </c>
      <c r="JG51" s="99">
        <v>22.291881801125701</v>
      </c>
      <c r="JH51" s="99">
        <v>22.350387429643501</v>
      </c>
      <c r="JI51" s="99">
        <v>22.408893058161301</v>
      </c>
      <c r="JJ51" s="99">
        <v>22.4673986866791</v>
      </c>
      <c r="JK51" s="99">
        <v>22.525904315197</v>
      </c>
      <c r="JL51" s="99">
        <v>22.5844099437148</v>
      </c>
      <c r="JM51" s="99">
        <v>22.642915572232599</v>
      </c>
      <c r="JN51" s="99">
        <v>22.701421200750399</v>
      </c>
      <c r="JO51" s="99">
        <v>22.759926829268299</v>
      </c>
      <c r="JP51" s="99">
        <v>22.818432457786098</v>
      </c>
      <c r="JQ51" s="99">
        <v>22.876938086303898</v>
      </c>
      <c r="JR51" s="99">
        <v>22.935443714821702</v>
      </c>
      <c r="JS51" s="99">
        <v>22.993949343339601</v>
      </c>
      <c r="JT51" s="99">
        <v>23.052454971857401</v>
      </c>
      <c r="JU51" s="99">
        <v>23.110960600375201</v>
      </c>
      <c r="JV51" s="99">
        <v>23.169466228893</v>
      </c>
      <c r="JW51" s="99">
        <v>23.2279718574108</v>
      </c>
      <c r="JX51" s="99">
        <v>23.2864774859287</v>
      </c>
      <c r="JY51" s="99">
        <v>23.344983114446499</v>
      </c>
      <c r="JZ51" s="99">
        <v>23.403488742964299</v>
      </c>
      <c r="KA51" s="99">
        <v>23.461994371482099</v>
      </c>
      <c r="KB51" s="99">
        <v>23.520499999999998</v>
      </c>
      <c r="KC51" s="99">
        <v>23.579005628517798</v>
      </c>
      <c r="KD51" s="99">
        <v>23.637511257035602</v>
      </c>
      <c r="KE51" s="99">
        <v>23.696016885553401</v>
      </c>
      <c r="KF51" s="99">
        <v>23.754522514071301</v>
      </c>
      <c r="KG51" s="99">
        <v>23.813028142589101</v>
      </c>
      <c r="KH51" s="99">
        <v>23.8715337711069</v>
      </c>
      <c r="KI51" s="99">
        <v>23.9300393996247</v>
      </c>
      <c r="KJ51" s="99">
        <v>23.9885450281426</v>
      </c>
      <c r="KK51" s="99">
        <v>24.047050656660399</v>
      </c>
      <c r="KL51" s="99">
        <v>24.105556285178199</v>
      </c>
      <c r="KM51" s="99">
        <v>24.164061913695999</v>
      </c>
      <c r="KN51" s="99">
        <v>24.222567542213799</v>
      </c>
      <c r="KO51" s="99">
        <v>24.281073170731698</v>
      </c>
      <c r="KP51" s="99">
        <v>24.339578799249502</v>
      </c>
      <c r="KQ51" s="99">
        <v>24.398084427767301</v>
      </c>
      <c r="KR51" s="99">
        <v>24.456590056285101</v>
      </c>
      <c r="KS51" s="99">
        <v>24.515095684803001</v>
      </c>
      <c r="KT51" s="99">
        <v>24.5736013133208</v>
      </c>
      <c r="KU51" s="99">
        <v>24.6321069418386</v>
      </c>
      <c r="KV51" s="99">
        <v>24.6906125703564</v>
      </c>
      <c r="KW51" s="99">
        <v>24.749118198874299</v>
      </c>
      <c r="KX51" s="99">
        <v>24.807623827392099</v>
      </c>
      <c r="KY51" s="99">
        <v>24.866129455909899</v>
      </c>
      <c r="KZ51" s="99">
        <v>24.924635084427699</v>
      </c>
      <c r="LA51" s="99">
        <v>24.983140712945598</v>
      </c>
      <c r="LB51" s="99">
        <v>25.041646341463402</v>
      </c>
      <c r="LC51" s="99">
        <v>25.100151969981201</v>
      </c>
      <c r="LD51" s="99">
        <v>25.158657598499001</v>
      </c>
      <c r="LE51" s="99">
        <v>25.217163227016901</v>
      </c>
      <c r="LF51" s="99">
        <v>25.2756688555347</v>
      </c>
      <c r="LG51" s="99">
        <v>25.3341744840525</v>
      </c>
      <c r="LH51" s="99">
        <v>25.3926801125703</v>
      </c>
      <c r="LI51" s="99">
        <v>25.4511857410881</v>
      </c>
      <c r="LJ51" s="99">
        <v>25.509691369605999</v>
      </c>
      <c r="LK51" s="99">
        <v>25.568196998123799</v>
      </c>
      <c r="LL51" s="99">
        <v>25.626702626641599</v>
      </c>
      <c r="LM51" s="99">
        <v>25.685208255159399</v>
      </c>
      <c r="LN51" s="99">
        <v>25.743713883677302</v>
      </c>
      <c r="LO51" s="99">
        <v>25.802219512195101</v>
      </c>
      <c r="LP51" s="99">
        <v>25.860725140712901</v>
      </c>
      <c r="LQ51" s="99">
        <v>25.919230769230701</v>
      </c>
      <c r="LR51" s="99">
        <v>25.9777363977486</v>
      </c>
      <c r="LS51" s="99">
        <v>26.0362420262664</v>
      </c>
      <c r="LT51" s="99">
        <v>26.0947476547842</v>
      </c>
      <c r="LU51" s="99">
        <v>26.153253283302</v>
      </c>
      <c r="LV51" s="99">
        <v>26.211758911819899</v>
      </c>
      <c r="LW51" s="99">
        <v>26.270264540337699</v>
      </c>
      <c r="LX51" s="99">
        <v>26.328770168855499</v>
      </c>
      <c r="LY51" s="99">
        <v>26.387275797373299</v>
      </c>
      <c r="LZ51" s="99">
        <v>26.445781425891099</v>
      </c>
      <c r="MA51" s="99">
        <v>26.504287054409001</v>
      </c>
      <c r="MB51" s="99">
        <v>26.562792682926801</v>
      </c>
      <c r="MC51" s="99">
        <v>26.621298311444601</v>
      </c>
      <c r="MD51" s="99">
        <v>26.679803939962401</v>
      </c>
      <c r="ME51" s="99">
        <v>26.7383095684803</v>
      </c>
      <c r="MF51" s="99">
        <v>26.7968151969981</v>
      </c>
      <c r="MG51" s="99">
        <v>26.8553208255159</v>
      </c>
      <c r="MH51" s="99">
        <v>26.9138264540337</v>
      </c>
      <c r="MI51" s="99">
        <v>26.972332082551599</v>
      </c>
      <c r="MJ51" s="99">
        <v>27.030837711069399</v>
      </c>
      <c r="MK51" s="99">
        <v>27.089343339587199</v>
      </c>
      <c r="ML51" s="99">
        <v>27.147848968104999</v>
      </c>
      <c r="MM51" s="99">
        <v>27.206354596622901</v>
      </c>
      <c r="MN51" s="99">
        <v>27.264860225140701</v>
      </c>
      <c r="MO51" s="99">
        <v>27.323365853658501</v>
      </c>
      <c r="MP51" s="99">
        <v>27.381871482176301</v>
      </c>
      <c r="MQ51" s="99">
        <v>27.4403771106942</v>
      </c>
      <c r="MR51" s="99">
        <v>27.498882739212</v>
      </c>
      <c r="MS51" s="99">
        <v>27.5573883677298</v>
      </c>
      <c r="MT51" s="99">
        <v>27.6158939962476</v>
      </c>
      <c r="MU51" s="99">
        <v>27.6743996247654</v>
      </c>
      <c r="MV51" s="99">
        <v>27.732905253283299</v>
      </c>
      <c r="MW51" s="99">
        <v>27.791410881801099</v>
      </c>
      <c r="MX51" s="99">
        <v>27.849916510318899</v>
      </c>
      <c r="MY51" s="99">
        <v>27.908422138836698</v>
      </c>
      <c r="MZ51" s="99">
        <v>27.966927767354601</v>
      </c>
      <c r="NA51" s="99">
        <v>28.025433395872401</v>
      </c>
      <c r="NB51" s="99">
        <v>28.083939024390201</v>
      </c>
      <c r="NC51" s="99">
        <v>28.142444652908001</v>
      </c>
      <c r="ND51" s="99">
        <v>28.2009502814259</v>
      </c>
      <c r="NE51" s="99">
        <v>28.2594559099437</v>
      </c>
      <c r="NF51" s="99">
        <v>28.3179615384615</v>
      </c>
      <c r="NG51" s="99">
        <v>28.3764671669793</v>
      </c>
      <c r="NH51" s="99">
        <v>28.434972795497199</v>
      </c>
      <c r="NI51" s="99">
        <v>28.493478424014999</v>
      </c>
      <c r="NJ51" s="99">
        <v>28.551984052532799</v>
      </c>
      <c r="NK51" s="99">
        <v>28.610489681050598</v>
      </c>
      <c r="NL51" s="99">
        <v>28.668995309568398</v>
      </c>
      <c r="NM51" s="99">
        <v>28.727500938086301</v>
      </c>
      <c r="NN51" s="99">
        <v>28.786006566604101</v>
      </c>
      <c r="NO51" s="99">
        <v>28.844512195121901</v>
      </c>
      <c r="NP51" s="99">
        <v>28.903017823639701</v>
      </c>
      <c r="NQ51" s="99">
        <v>28.9615234521576</v>
      </c>
      <c r="NR51" s="99">
        <v>29.0200290806754</v>
      </c>
      <c r="NS51" s="99">
        <v>29.0785347091932</v>
      </c>
      <c r="NT51" s="99">
        <v>29.137040337710999</v>
      </c>
      <c r="NU51" s="99">
        <v>29.195545966228899</v>
      </c>
      <c r="NV51" s="99">
        <v>29.254051594746699</v>
      </c>
      <c r="NW51" s="99">
        <v>29.312557223264498</v>
      </c>
      <c r="NX51" s="99">
        <v>29.371062851782298</v>
      </c>
      <c r="NY51" s="99">
        <v>29.429568480300201</v>
      </c>
      <c r="NZ51" s="99">
        <v>29.488074108818001</v>
      </c>
      <c r="OA51" s="99">
        <v>29.546579737335801</v>
      </c>
      <c r="OB51" s="99">
        <v>29.605085365853601</v>
      </c>
      <c r="OC51" s="99">
        <v>29.6635909943715</v>
      </c>
      <c r="OD51" s="99">
        <v>29.7220966228893</v>
      </c>
      <c r="OE51" s="99">
        <v>29.7806022514071</v>
      </c>
      <c r="OF51" s="99">
        <v>29.839107879924899</v>
      </c>
      <c r="OG51" s="99">
        <v>29.897613508442699</v>
      </c>
      <c r="OH51" s="99">
        <v>29.956119136960599</v>
      </c>
      <c r="OI51" s="99">
        <v>30.014624765478398</v>
      </c>
      <c r="OJ51" s="99">
        <v>30.073130393996198</v>
      </c>
      <c r="OK51" s="99">
        <v>30.131636022514002</v>
      </c>
      <c r="OL51" s="99">
        <v>30.190141651031901</v>
      </c>
      <c r="OM51" s="99">
        <v>30.248647279549701</v>
      </c>
      <c r="ON51" s="99">
        <v>30.307152908067501</v>
      </c>
      <c r="OO51" s="99">
        <v>30.3656585365853</v>
      </c>
      <c r="OP51" s="99">
        <v>30.4241641651032</v>
      </c>
      <c r="OQ51" s="99">
        <v>30.482669793621</v>
      </c>
      <c r="OR51" s="99">
        <v>30.541175422138799</v>
      </c>
      <c r="OS51" s="99">
        <v>30.599681050656599</v>
      </c>
      <c r="OT51" s="99">
        <v>30.658186679174499</v>
      </c>
      <c r="OU51" s="99">
        <v>30.716692307692298</v>
      </c>
      <c r="OV51" s="99">
        <v>30.775197936210098</v>
      </c>
      <c r="OW51" s="99">
        <v>30.833703564727902</v>
      </c>
      <c r="OX51" s="99">
        <v>30.892209193245701</v>
      </c>
      <c r="OY51" s="99">
        <v>30.950714821763601</v>
      </c>
      <c r="OZ51" s="99">
        <v>31.009220450281401</v>
      </c>
      <c r="PA51" s="99">
        <v>31.0677260787992</v>
      </c>
      <c r="PB51" s="99">
        <v>31.126231707317</v>
      </c>
      <c r="PC51" s="99">
        <v>31.1847373358349</v>
      </c>
      <c r="PD51" s="99">
        <v>31.243242964352699</v>
      </c>
      <c r="PE51" s="99">
        <v>31.301748592870499</v>
      </c>
      <c r="PF51" s="99">
        <v>31.360254221388299</v>
      </c>
      <c r="PG51" s="99">
        <v>31.418759849906198</v>
      </c>
      <c r="PH51" s="99">
        <v>31.477265478423998</v>
      </c>
      <c r="PI51" s="99">
        <v>31.535771106941802</v>
      </c>
      <c r="PJ51" s="99">
        <v>31.594276735459601</v>
      </c>
      <c r="PK51" s="99">
        <v>31.652782363977501</v>
      </c>
      <c r="PL51" s="99">
        <v>31.711287992495301</v>
      </c>
      <c r="PM51" s="99">
        <v>31.7697936210131</v>
      </c>
      <c r="PN51" s="99">
        <v>31.8282992495309</v>
      </c>
      <c r="PO51" s="99">
        <v>31.8868048780487</v>
      </c>
      <c r="PP51" s="99">
        <v>31.945310506566599</v>
      </c>
      <c r="PQ51" s="99">
        <v>32.003816135084399</v>
      </c>
      <c r="PR51" s="99">
        <v>32.062321763602199</v>
      </c>
      <c r="PS51" s="99">
        <v>32.120827392119999</v>
      </c>
      <c r="PT51" s="99">
        <v>32.179333020637898</v>
      </c>
      <c r="PU51" s="99">
        <v>32.237838649155698</v>
      </c>
      <c r="PV51" s="99">
        <v>32.296344277673498</v>
      </c>
      <c r="PW51" s="99">
        <v>32.354849906191298</v>
      </c>
      <c r="PX51" s="99">
        <v>32.413355534709197</v>
      </c>
      <c r="PY51" s="99">
        <v>32.471861163226997</v>
      </c>
      <c r="PZ51" s="99">
        <v>32.530366791744797</v>
      </c>
      <c r="QA51" s="99">
        <v>32.588872420262597</v>
      </c>
      <c r="QB51" s="99">
        <v>32.647378048780503</v>
      </c>
      <c r="QC51" s="99">
        <v>32.705883677298303</v>
      </c>
      <c r="QD51" s="99">
        <v>32.764389305816103</v>
      </c>
      <c r="QE51" s="99">
        <v>32.822894934333902</v>
      </c>
      <c r="QF51" s="99">
        <v>32.881400562851702</v>
      </c>
      <c r="QG51" s="99">
        <v>32.939906191369602</v>
      </c>
      <c r="QH51" s="99">
        <v>32.998411819887401</v>
      </c>
      <c r="QI51" s="99">
        <v>33.056917448405201</v>
      </c>
      <c r="QJ51" s="99">
        <v>33.115423076923001</v>
      </c>
      <c r="QK51" s="99">
        <v>33.1739287054409</v>
      </c>
      <c r="QL51" s="99">
        <v>33.2324343339587</v>
      </c>
      <c r="QM51" s="99">
        <v>33.2909399624765</v>
      </c>
      <c r="QN51" s="99">
        <v>33.3494455909943</v>
      </c>
      <c r="QO51" s="99">
        <v>33.407951219512199</v>
      </c>
      <c r="QP51" s="99">
        <v>33.466456848029999</v>
      </c>
      <c r="QQ51" s="99">
        <v>33.524962476547799</v>
      </c>
      <c r="QR51" s="99">
        <v>33.583468105065599</v>
      </c>
      <c r="QS51" s="99">
        <v>33.641973733583498</v>
      </c>
      <c r="QT51" s="99">
        <v>33.700479362101298</v>
      </c>
      <c r="QU51" s="99">
        <v>33.758984990619098</v>
      </c>
      <c r="QV51" s="99">
        <v>33.817490619136898</v>
      </c>
      <c r="QW51" s="99">
        <v>33.875996247654797</v>
      </c>
      <c r="QX51" s="99">
        <v>33.934501876172597</v>
      </c>
      <c r="QY51" s="99">
        <v>33.993007504690397</v>
      </c>
      <c r="QZ51" s="99">
        <v>34.051513133208203</v>
      </c>
      <c r="RA51" s="99">
        <v>34.110018761726003</v>
      </c>
      <c r="RB51" s="99">
        <v>34.168524390243903</v>
      </c>
      <c r="RC51" s="99">
        <v>34.227030018761702</v>
      </c>
      <c r="RD51" s="99">
        <v>34.285535647279502</v>
      </c>
      <c r="RE51" s="99">
        <v>34.344041275797302</v>
      </c>
      <c r="RF51" s="99">
        <v>34.402546904315201</v>
      </c>
      <c r="RG51" s="99">
        <v>34.461052532833001</v>
      </c>
      <c r="RH51" s="99">
        <v>34.519558161350801</v>
      </c>
      <c r="RI51" s="99">
        <v>34.578063789868601</v>
      </c>
      <c r="RJ51" s="99">
        <v>34.6365694183865</v>
      </c>
      <c r="RK51" s="99">
        <v>34.6950750469043</v>
      </c>
      <c r="RL51" s="99">
        <v>34.7535806754221</v>
      </c>
      <c r="RM51" s="99">
        <v>34.8120863039399</v>
      </c>
      <c r="RN51" s="99">
        <v>34.870591932457799</v>
      </c>
      <c r="RO51" s="99">
        <v>34.929097560975599</v>
      </c>
      <c r="RP51" s="99">
        <v>34.987603189493399</v>
      </c>
      <c r="RQ51" s="99">
        <v>35.046108818011199</v>
      </c>
      <c r="RR51" s="99">
        <v>35.104614446528998</v>
      </c>
      <c r="RS51" s="99">
        <v>35.163120075046898</v>
      </c>
      <c r="RT51" s="99">
        <v>35.221625703564698</v>
      </c>
      <c r="RU51" s="99">
        <v>35.280131332082497</v>
      </c>
      <c r="RV51" s="99">
        <v>35.338636960600297</v>
      </c>
      <c r="RW51" s="99">
        <v>35.397142589118197</v>
      </c>
      <c r="RX51" s="99">
        <v>35.455648217636003</v>
      </c>
      <c r="RY51" s="99">
        <v>35.514153846153803</v>
      </c>
      <c r="RZ51" s="99">
        <v>35.572659474671603</v>
      </c>
      <c r="SA51" s="99">
        <v>35.631165103189502</v>
      </c>
      <c r="SB51" s="99">
        <v>35.689670731707302</v>
      </c>
      <c r="SC51" s="99">
        <v>35.748176360225102</v>
      </c>
      <c r="SD51" s="99">
        <v>35.806681988742902</v>
      </c>
      <c r="SE51" s="99">
        <v>35.865187617260801</v>
      </c>
      <c r="SF51" s="99">
        <v>35.923693245778601</v>
      </c>
      <c r="SG51" s="99">
        <v>35.982198874296401</v>
      </c>
      <c r="SH51" s="99">
        <v>36.040704502814201</v>
      </c>
      <c r="SI51" s="99">
        <v>36.0992101313321</v>
      </c>
      <c r="SJ51" s="99">
        <v>36.1577157598499</v>
      </c>
      <c r="SK51" s="99">
        <v>36.2162213883677</v>
      </c>
      <c r="SL51" s="99">
        <v>36.2747270168855</v>
      </c>
      <c r="SM51" s="99">
        <v>36.333232645403299</v>
      </c>
      <c r="SN51" s="99">
        <v>36.391738273921199</v>
      </c>
      <c r="SO51" s="99">
        <v>36.450243902438999</v>
      </c>
      <c r="SP51" s="99">
        <v>36.508749530956798</v>
      </c>
      <c r="SQ51" s="99">
        <v>36.567255159474598</v>
      </c>
      <c r="SR51" s="99">
        <v>36.625760787992498</v>
      </c>
      <c r="SS51" s="99">
        <v>36.684266416510297</v>
      </c>
      <c r="ST51" s="99">
        <v>36.742772045028097</v>
      </c>
      <c r="SU51" s="99">
        <v>36.801277673545897</v>
      </c>
      <c r="SV51" s="99">
        <v>36.859783302063803</v>
      </c>
      <c r="SW51" s="99">
        <v>36.918288930581603</v>
      </c>
      <c r="SX51" s="99">
        <v>36.976794559099403</v>
      </c>
      <c r="SY51" s="99">
        <v>37.035300187617203</v>
      </c>
      <c r="SZ51" s="99">
        <v>37.093805816135102</v>
      </c>
      <c r="TA51" s="99">
        <v>37.152311444652902</v>
      </c>
      <c r="TB51" s="99">
        <v>37.210817073170702</v>
      </c>
      <c r="TC51" s="99">
        <v>37.269322701688502</v>
      </c>
      <c r="TD51" s="99">
        <v>37.327828330206302</v>
      </c>
      <c r="TE51" s="99">
        <v>37.386333958724201</v>
      </c>
      <c r="TF51" s="99">
        <v>37.444839587242001</v>
      </c>
      <c r="TG51" s="99">
        <v>37.503345215759801</v>
      </c>
      <c r="TH51" s="99">
        <v>37.5618508442776</v>
      </c>
      <c r="TI51" s="99">
        <v>37.6203564727955</v>
      </c>
      <c r="TJ51" s="99">
        <v>37.6788621013133</v>
      </c>
      <c r="TK51" s="99">
        <v>37.737367729831099</v>
      </c>
      <c r="TL51" s="99">
        <v>37.795873358348899</v>
      </c>
      <c r="TM51" s="99">
        <v>37.854378986866799</v>
      </c>
      <c r="TN51" s="99">
        <v>37.912884615384598</v>
      </c>
      <c r="TO51" s="99">
        <v>37.971390243902398</v>
      </c>
      <c r="TP51" s="99">
        <v>38.029895872420198</v>
      </c>
      <c r="TQ51" s="99">
        <v>38.088401500938097</v>
      </c>
      <c r="TR51" s="99">
        <v>38.146907129455897</v>
      </c>
      <c r="TS51" s="99">
        <v>38.205412757973697</v>
      </c>
      <c r="TT51" s="99">
        <v>38.263918386491497</v>
      </c>
      <c r="TU51" s="99">
        <v>38.322424015009403</v>
      </c>
      <c r="TV51" s="99">
        <v>38.380929643527203</v>
      </c>
      <c r="TW51" s="99">
        <v>38.439435272045003</v>
      </c>
      <c r="TX51" s="99">
        <v>38.497940900562803</v>
      </c>
      <c r="TY51" s="99">
        <v>38.556446529080603</v>
      </c>
      <c r="TZ51" s="99">
        <v>38.614952157598502</v>
      </c>
      <c r="UA51" s="99">
        <v>38.673457786116302</v>
      </c>
      <c r="UB51" s="99">
        <v>38.731963414634102</v>
      </c>
      <c r="UC51" s="99">
        <v>38.790469043151901</v>
      </c>
      <c r="UD51" s="99">
        <v>38.848974671669801</v>
      </c>
      <c r="UE51" s="99">
        <v>38.907480300187601</v>
      </c>
      <c r="UF51" s="99">
        <v>38.9659859287054</v>
      </c>
      <c r="UG51" s="99">
        <v>39.0244915572232</v>
      </c>
      <c r="UH51" s="99">
        <v>39.0829971857411</v>
      </c>
      <c r="UI51" s="99">
        <v>39.141502814258899</v>
      </c>
      <c r="UJ51" s="99">
        <v>39.200008442776699</v>
      </c>
      <c r="UK51" s="99">
        <v>39.258514071294499</v>
      </c>
      <c r="UL51" s="99">
        <v>39.317019699812398</v>
      </c>
      <c r="UM51" s="99">
        <v>39.375525328330198</v>
      </c>
      <c r="UN51" s="99">
        <v>39.434030956847998</v>
      </c>
      <c r="UO51" s="99">
        <v>39.492536585365798</v>
      </c>
      <c r="UP51" s="99">
        <v>39.551042213883598</v>
      </c>
      <c r="UQ51" s="99">
        <v>39.609547842401497</v>
      </c>
      <c r="UR51" s="99">
        <v>39.668053470919297</v>
      </c>
      <c r="US51" s="99">
        <v>39.726559099437097</v>
      </c>
      <c r="UT51" s="99">
        <v>39.785064727954897</v>
      </c>
    </row>
    <row r="52" spans="1:566" x14ac:dyDescent="0.2">
      <c r="A52" s="89">
        <v>23</v>
      </c>
      <c r="B52" s="90">
        <v>6.72</v>
      </c>
      <c r="C52" s="90">
        <v>6.78</v>
      </c>
      <c r="D52" s="90">
        <v>6.84</v>
      </c>
      <c r="E52" s="90">
        <v>6.9</v>
      </c>
      <c r="F52" s="90">
        <v>6.95</v>
      </c>
      <c r="G52" s="90">
        <v>7.01</v>
      </c>
      <c r="H52" s="90">
        <v>7.07</v>
      </c>
      <c r="I52" s="90">
        <v>7.13</v>
      </c>
      <c r="J52" s="90">
        <v>7.19</v>
      </c>
      <c r="K52" s="90">
        <v>7.24</v>
      </c>
      <c r="L52" s="90">
        <v>7.3</v>
      </c>
      <c r="M52" s="90">
        <v>7.36</v>
      </c>
      <c r="N52" s="90">
        <v>7.42</v>
      </c>
      <c r="O52" s="90">
        <v>7.48</v>
      </c>
      <c r="P52" s="90">
        <v>7.53</v>
      </c>
      <c r="Q52" s="90">
        <v>7.59</v>
      </c>
      <c r="R52" s="90">
        <v>7.65</v>
      </c>
      <c r="S52" s="90">
        <v>7.71</v>
      </c>
      <c r="T52" s="90">
        <v>7.77</v>
      </c>
      <c r="U52" s="91">
        <v>7.82</v>
      </c>
      <c r="V52" s="90">
        <v>7.88</v>
      </c>
      <c r="W52" s="90">
        <v>7.94</v>
      </c>
      <c r="X52" s="90">
        <v>8</v>
      </c>
      <c r="Y52" s="90">
        <v>8.06</v>
      </c>
      <c r="Z52" s="90">
        <v>8.11</v>
      </c>
      <c r="AA52" s="90">
        <v>8.17</v>
      </c>
      <c r="AB52" s="90">
        <v>8.23</v>
      </c>
      <c r="AC52" s="90">
        <v>8.2899999999999991</v>
      </c>
      <c r="AD52" s="90">
        <v>8.35</v>
      </c>
      <c r="AE52" s="90">
        <v>8.4</v>
      </c>
      <c r="AF52" s="90">
        <v>8.4600000000000009</v>
      </c>
      <c r="AG52" s="90">
        <v>8.52</v>
      </c>
      <c r="AH52" s="90">
        <v>8.58</v>
      </c>
      <c r="AI52" s="90">
        <v>8.64</v>
      </c>
      <c r="AJ52" s="90">
        <v>8.69</v>
      </c>
      <c r="AK52" s="90">
        <v>8.75</v>
      </c>
      <c r="AL52" s="90">
        <v>8.81</v>
      </c>
      <c r="AM52" s="90">
        <v>8.8699999999999992</v>
      </c>
      <c r="AN52" s="90">
        <v>8.93</v>
      </c>
      <c r="AO52" s="91">
        <v>8.98</v>
      </c>
      <c r="AP52" s="90">
        <v>9.0419999999999998</v>
      </c>
      <c r="AQ52" s="90">
        <v>9.1</v>
      </c>
      <c r="AR52" s="90">
        <v>9.1579999999999995</v>
      </c>
      <c r="AS52" s="90">
        <v>9.2159999999999993</v>
      </c>
      <c r="AT52" s="90">
        <v>9.2739999999999991</v>
      </c>
      <c r="AU52" s="90">
        <v>9.3320000000000007</v>
      </c>
      <c r="AV52" s="90">
        <v>9.39</v>
      </c>
      <c r="AW52" s="90">
        <v>9.4480000000000004</v>
      </c>
      <c r="AX52" s="90">
        <v>9.5060000000000002</v>
      </c>
      <c r="AY52" s="90">
        <v>9.5640000000000001</v>
      </c>
      <c r="AZ52" s="90">
        <v>9.6219999999999999</v>
      </c>
      <c r="BA52" s="90">
        <v>9.68</v>
      </c>
      <c r="BB52" s="90">
        <v>9.7379999999999995</v>
      </c>
      <c r="BC52" s="90">
        <v>9.7959999999999994</v>
      </c>
      <c r="BD52" s="90">
        <v>9.8539999999999992</v>
      </c>
      <c r="BE52" s="90">
        <v>9.9120000000000008</v>
      </c>
      <c r="BF52" s="90">
        <v>9.9700000000000006</v>
      </c>
      <c r="BG52" s="90">
        <v>10.028</v>
      </c>
      <c r="BH52" s="90">
        <v>10.086</v>
      </c>
      <c r="BI52" s="91">
        <v>10.144</v>
      </c>
      <c r="BJ52" s="90">
        <v>10.202</v>
      </c>
      <c r="BK52" s="99">
        <v>10.26</v>
      </c>
      <c r="BL52" s="99">
        <v>10.318</v>
      </c>
      <c r="BM52" s="99">
        <v>10.375999999999999</v>
      </c>
      <c r="BN52" s="99">
        <v>10.433999999999999</v>
      </c>
      <c r="BO52" s="99">
        <v>10.492000000000001</v>
      </c>
      <c r="BP52" s="99">
        <v>10.55</v>
      </c>
      <c r="BQ52" s="99">
        <v>10.608000000000001</v>
      </c>
      <c r="BR52" s="99">
        <v>10.666</v>
      </c>
      <c r="BS52" s="99">
        <v>10.724</v>
      </c>
      <c r="BT52" s="99">
        <v>10.782</v>
      </c>
      <c r="BU52" s="99">
        <v>10.84</v>
      </c>
      <c r="BV52" s="99">
        <v>10.898</v>
      </c>
      <c r="BW52" s="99">
        <v>10.956</v>
      </c>
      <c r="BX52" s="99">
        <v>11.013999999999999</v>
      </c>
      <c r="BY52" s="99">
        <v>11.071999999999999</v>
      </c>
      <c r="BZ52" s="99">
        <v>11.13</v>
      </c>
      <c r="CA52" s="99">
        <v>11.188000000000001</v>
      </c>
      <c r="CB52" s="99">
        <v>11.246</v>
      </c>
      <c r="CC52" s="99">
        <v>11.304</v>
      </c>
      <c r="CD52" s="99">
        <v>11.362</v>
      </c>
      <c r="CE52" s="99">
        <v>11.42</v>
      </c>
      <c r="CF52" s="99">
        <v>11.478</v>
      </c>
      <c r="CG52" s="99">
        <v>11.536</v>
      </c>
      <c r="CH52" s="99">
        <v>11.593999999999999</v>
      </c>
      <c r="CI52" s="99">
        <v>11.651999999999999</v>
      </c>
      <c r="CJ52" s="99">
        <v>11.71</v>
      </c>
      <c r="CK52" s="99">
        <v>11.768000000000001</v>
      </c>
      <c r="CL52" s="99">
        <v>11.826000000000001</v>
      </c>
      <c r="CM52" s="99">
        <v>11.884</v>
      </c>
      <c r="CN52" s="99">
        <v>11.942</v>
      </c>
      <c r="CO52" s="99">
        <v>12</v>
      </c>
      <c r="CP52" s="99">
        <v>12.058</v>
      </c>
      <c r="CQ52" s="99">
        <v>12.116</v>
      </c>
      <c r="CR52" s="99">
        <v>12.173999999999999</v>
      </c>
      <c r="CS52" s="99">
        <v>12.231999999999999</v>
      </c>
      <c r="CT52" s="99">
        <v>12.29</v>
      </c>
      <c r="CU52" s="99">
        <v>12.348000000000001</v>
      </c>
      <c r="CV52" s="99">
        <v>12.406000000000001</v>
      </c>
      <c r="CW52" s="99">
        <v>12.464</v>
      </c>
      <c r="CX52" s="99">
        <v>12.522</v>
      </c>
      <c r="CY52" s="99">
        <v>12.58</v>
      </c>
      <c r="CZ52" s="99">
        <v>12.638</v>
      </c>
      <c r="DA52" s="99">
        <v>12.696</v>
      </c>
      <c r="DB52" s="99">
        <v>12.754</v>
      </c>
      <c r="DC52" s="99">
        <v>12.811999999999999</v>
      </c>
      <c r="DD52" s="99">
        <v>12.87</v>
      </c>
      <c r="DE52" s="99">
        <v>12.928000000000001</v>
      </c>
      <c r="DF52" s="99">
        <v>12.986000000000001</v>
      </c>
      <c r="DG52" s="99">
        <v>13.044</v>
      </c>
      <c r="DH52" s="99">
        <v>13.102</v>
      </c>
      <c r="DI52" s="99">
        <v>13.16</v>
      </c>
      <c r="DJ52" s="99">
        <v>13.218</v>
      </c>
      <c r="DK52" s="99">
        <v>13.276</v>
      </c>
      <c r="DL52" s="99">
        <v>13.334</v>
      </c>
      <c r="DM52" s="99">
        <v>13.391999999999999</v>
      </c>
      <c r="DN52" s="99">
        <v>13.45</v>
      </c>
      <c r="DO52" s="99">
        <v>13.507999999999999</v>
      </c>
      <c r="DP52" s="99">
        <v>13.566000000000001</v>
      </c>
      <c r="DQ52" s="99">
        <v>13.624000000000001</v>
      </c>
      <c r="DR52" s="99">
        <v>13.682</v>
      </c>
      <c r="DS52" s="99">
        <v>13.74</v>
      </c>
      <c r="DT52" s="99">
        <v>13.798</v>
      </c>
      <c r="DU52" s="99">
        <v>13.856</v>
      </c>
      <c r="DV52" s="99">
        <v>13.914</v>
      </c>
      <c r="DW52" s="99">
        <v>13.972</v>
      </c>
      <c r="DX52" s="99">
        <v>14.03</v>
      </c>
      <c r="DY52" s="99">
        <v>14.087999999999999</v>
      </c>
      <c r="DZ52" s="99">
        <v>14.146000000000001</v>
      </c>
      <c r="EA52" s="99">
        <v>14.204000000000001</v>
      </c>
      <c r="EB52" s="99">
        <v>14.262</v>
      </c>
      <c r="EC52" s="99">
        <v>14.32</v>
      </c>
      <c r="ED52" s="99">
        <v>14.378</v>
      </c>
      <c r="EE52" s="99">
        <v>14.436</v>
      </c>
      <c r="EF52" s="99">
        <v>14.494</v>
      </c>
      <c r="EG52" s="99">
        <v>14.552</v>
      </c>
      <c r="EH52" s="99">
        <v>14.61</v>
      </c>
      <c r="EI52" s="99">
        <v>14.667999999999999</v>
      </c>
      <c r="EJ52" s="99">
        <v>14.726000000000001</v>
      </c>
      <c r="EK52" s="99">
        <v>14.784000000000001</v>
      </c>
      <c r="EL52" s="99">
        <v>14.842000000000001</v>
      </c>
      <c r="EM52" s="99">
        <v>14.9</v>
      </c>
      <c r="EN52" s="99">
        <v>14.958</v>
      </c>
      <c r="EO52" s="99">
        <v>15.016</v>
      </c>
      <c r="EP52" s="99">
        <v>15.074</v>
      </c>
      <c r="EQ52" s="99">
        <v>15.132</v>
      </c>
      <c r="ER52" s="99">
        <v>15.19</v>
      </c>
      <c r="ES52" s="99">
        <v>15.247999999999999</v>
      </c>
      <c r="ET52" s="99">
        <v>15.305999999999999</v>
      </c>
      <c r="EU52" s="99">
        <v>15.364000000000001</v>
      </c>
      <c r="EV52" s="99">
        <v>15.422000000000001</v>
      </c>
      <c r="EW52" s="99">
        <v>15.48</v>
      </c>
      <c r="EX52" s="99">
        <v>15.538</v>
      </c>
      <c r="EY52" s="99">
        <v>15.596</v>
      </c>
      <c r="EZ52" s="99">
        <v>15.654</v>
      </c>
      <c r="FA52" s="99">
        <v>15.712</v>
      </c>
      <c r="FB52" s="99">
        <v>15.77</v>
      </c>
      <c r="FC52" s="99">
        <v>15.827999999999999</v>
      </c>
      <c r="FD52" s="99">
        <v>15.885999999999999</v>
      </c>
      <c r="FE52" s="99">
        <v>15.944000000000001</v>
      </c>
      <c r="FF52" s="99">
        <v>16.001999999999999</v>
      </c>
      <c r="FG52" s="99">
        <v>16.059999999999999</v>
      </c>
      <c r="FH52" s="99">
        <v>16.117999999999999</v>
      </c>
      <c r="FI52" s="99">
        <v>16.175999999999998</v>
      </c>
      <c r="FJ52" s="99">
        <v>16.234000000000002</v>
      </c>
      <c r="FK52" s="99">
        <v>16.292000000000002</v>
      </c>
      <c r="FL52" s="99">
        <v>16.350000000000001</v>
      </c>
      <c r="FM52" s="99">
        <v>16.408000000000001</v>
      </c>
      <c r="FN52" s="99">
        <v>16.466000000000001</v>
      </c>
      <c r="FO52" s="99">
        <v>16.524000000000001</v>
      </c>
      <c r="FP52" s="99">
        <v>16.582000000000001</v>
      </c>
      <c r="FQ52" s="99">
        <v>16.64</v>
      </c>
      <c r="FR52" s="99">
        <v>16.698</v>
      </c>
      <c r="FS52" s="99">
        <v>16.756</v>
      </c>
      <c r="FT52" s="99">
        <v>16.814</v>
      </c>
      <c r="FU52" s="99">
        <v>16.872</v>
      </c>
      <c r="FV52" s="99">
        <v>16.93</v>
      </c>
      <c r="FW52" s="99">
        <v>16.988</v>
      </c>
      <c r="FX52" s="99">
        <v>17.045999999999999</v>
      </c>
      <c r="FY52" s="99">
        <v>17.103999999999999</v>
      </c>
      <c r="FZ52" s="99">
        <v>17.161999999999999</v>
      </c>
      <c r="GA52" s="99">
        <v>17.22</v>
      </c>
      <c r="GB52" s="99">
        <v>17.277999999999999</v>
      </c>
      <c r="GC52" s="99">
        <v>17.335999999999999</v>
      </c>
      <c r="GD52" s="99">
        <v>17.393999999999998</v>
      </c>
      <c r="GE52" s="99">
        <v>17.452000000000002</v>
      </c>
      <c r="GF52" s="99">
        <v>17.510000000000002</v>
      </c>
      <c r="GG52" s="99">
        <v>17.568000000000001</v>
      </c>
      <c r="GH52" s="99">
        <v>17.626000000000001</v>
      </c>
      <c r="GI52" s="99">
        <v>17.684000000000001</v>
      </c>
      <c r="GJ52" s="99">
        <v>17.742000000000001</v>
      </c>
      <c r="GK52" s="99">
        <v>17.8</v>
      </c>
      <c r="GL52" s="99">
        <v>17.858000000000001</v>
      </c>
      <c r="GM52" s="99">
        <v>17.916</v>
      </c>
      <c r="GN52" s="99">
        <v>17.974</v>
      </c>
      <c r="GO52" s="99">
        <v>18.032</v>
      </c>
      <c r="GP52" s="99">
        <v>18.09</v>
      </c>
      <c r="GQ52" s="99">
        <v>18.148</v>
      </c>
      <c r="GR52" s="99">
        <v>18.206</v>
      </c>
      <c r="GS52" s="99">
        <v>18.263999999999999</v>
      </c>
      <c r="GT52" s="99">
        <v>18.321999999999999</v>
      </c>
      <c r="GU52" s="99">
        <v>18.38</v>
      </c>
      <c r="GV52" s="99">
        <v>18.437999999999999</v>
      </c>
      <c r="GW52" s="99">
        <v>18.495999999999999</v>
      </c>
      <c r="GX52" s="99">
        <v>18.553999999999998</v>
      </c>
      <c r="GY52" s="99">
        <v>18.611999999999998</v>
      </c>
      <c r="GZ52" s="99">
        <v>18.670000000000002</v>
      </c>
      <c r="HA52" s="99">
        <v>18.728000000000002</v>
      </c>
      <c r="HB52" s="99">
        <v>18.786000000000001</v>
      </c>
      <c r="HC52" s="99">
        <v>18.844000000000001</v>
      </c>
      <c r="HD52" s="99">
        <v>18.902000000000001</v>
      </c>
      <c r="HE52" s="99">
        <v>18.96</v>
      </c>
      <c r="HF52" s="99">
        <v>19.018000000000001</v>
      </c>
      <c r="HG52" s="99">
        <v>19.076000000000001</v>
      </c>
      <c r="HH52" s="99">
        <v>19.134</v>
      </c>
      <c r="HI52" s="99">
        <v>19.192</v>
      </c>
      <c r="HJ52" s="99">
        <v>19.25</v>
      </c>
      <c r="HK52" s="99">
        <v>19.308</v>
      </c>
      <c r="HL52" s="99">
        <v>19.366</v>
      </c>
      <c r="HM52" s="99">
        <v>19.423999999999999</v>
      </c>
      <c r="HN52" s="99">
        <v>19.481999999999999</v>
      </c>
      <c r="HO52" s="99">
        <v>19.54</v>
      </c>
      <c r="HP52" s="99">
        <v>19.597999999999999</v>
      </c>
      <c r="HQ52" s="99">
        <v>19.655999999999999</v>
      </c>
      <c r="HR52" s="99">
        <v>19.713999999999999</v>
      </c>
      <c r="HS52" s="99">
        <v>19.771999999999998</v>
      </c>
      <c r="HT52" s="99">
        <v>19.829999999999998</v>
      </c>
      <c r="HU52" s="99">
        <v>19.888000000000002</v>
      </c>
      <c r="HV52" s="99">
        <v>19.946000000000002</v>
      </c>
      <c r="HW52" s="99">
        <v>20.004000000000001</v>
      </c>
      <c r="HX52" s="99">
        <v>20.062000000000001</v>
      </c>
      <c r="HY52" s="99">
        <v>20.12</v>
      </c>
      <c r="HZ52" s="99">
        <v>20.178000000000001</v>
      </c>
      <c r="IA52" s="99">
        <v>20.236000000000001</v>
      </c>
      <c r="IB52" s="99">
        <v>20.294</v>
      </c>
      <c r="IC52" s="99">
        <v>20.352</v>
      </c>
      <c r="ID52" s="99">
        <v>20.41</v>
      </c>
      <c r="IE52" s="99">
        <v>20.468</v>
      </c>
      <c r="IF52" s="99">
        <v>20.526</v>
      </c>
      <c r="IG52" s="99">
        <v>20.584</v>
      </c>
      <c r="IH52" s="99">
        <v>20.641999999999999</v>
      </c>
      <c r="II52" s="99">
        <v>20.7</v>
      </c>
      <c r="IJ52" s="99">
        <v>20.757999999999999</v>
      </c>
      <c r="IK52" s="99">
        <v>20.815999999999999</v>
      </c>
      <c r="IL52" s="99">
        <v>20.873999999999999</v>
      </c>
      <c r="IM52" s="99">
        <v>20.931999999999999</v>
      </c>
      <c r="IN52" s="99">
        <v>20.99</v>
      </c>
      <c r="IO52" s="99">
        <v>21.047999999999998</v>
      </c>
      <c r="IP52" s="99">
        <v>21.106000000000002</v>
      </c>
      <c r="IQ52" s="99">
        <v>21.164000000000001</v>
      </c>
      <c r="IR52" s="99">
        <v>21.222000000000001</v>
      </c>
      <c r="IS52" s="99">
        <v>21.28</v>
      </c>
      <c r="IT52" s="99">
        <v>21.338000000000001</v>
      </c>
      <c r="IU52" s="99">
        <v>21.396000000000001</v>
      </c>
      <c r="IV52" s="99">
        <v>21.454000000000001</v>
      </c>
      <c r="IW52" s="99">
        <v>21.512</v>
      </c>
      <c r="IX52" s="99">
        <v>21.57</v>
      </c>
      <c r="IY52" s="99">
        <v>21.628</v>
      </c>
      <c r="IZ52" s="99">
        <v>21.686</v>
      </c>
      <c r="JA52" s="99">
        <v>21.744</v>
      </c>
      <c r="JB52" s="99">
        <v>21.802</v>
      </c>
      <c r="JC52" s="99">
        <v>21.86</v>
      </c>
      <c r="JD52" s="99">
        <v>21.917999999999999</v>
      </c>
      <c r="JE52" s="99">
        <v>21.975999999999999</v>
      </c>
      <c r="JF52" s="99">
        <v>22.033999999999999</v>
      </c>
      <c r="JG52" s="99">
        <v>22.091999999999999</v>
      </c>
      <c r="JH52" s="99">
        <v>22.15</v>
      </c>
      <c r="JI52" s="99">
        <v>22.207999999999998</v>
      </c>
      <c r="JJ52" s="99">
        <v>22.265999999999998</v>
      </c>
      <c r="JK52" s="99">
        <v>22.324000000000002</v>
      </c>
      <c r="JL52" s="99">
        <v>22.382000000000001</v>
      </c>
      <c r="JM52" s="99">
        <v>22.44</v>
      </c>
      <c r="JN52" s="99">
        <v>22.498000000000001</v>
      </c>
      <c r="JO52" s="99">
        <v>22.556000000000001</v>
      </c>
      <c r="JP52" s="99">
        <v>22.614000000000001</v>
      </c>
      <c r="JQ52" s="99">
        <v>22.672000000000001</v>
      </c>
      <c r="JR52" s="99">
        <v>22.73</v>
      </c>
      <c r="JS52" s="99">
        <v>22.788</v>
      </c>
      <c r="JT52" s="99">
        <v>22.846</v>
      </c>
      <c r="JU52" s="99">
        <v>22.904</v>
      </c>
      <c r="JV52" s="99">
        <v>22.962</v>
      </c>
      <c r="JW52" s="99">
        <v>23.02</v>
      </c>
      <c r="JX52" s="99">
        <v>23.077999999999999</v>
      </c>
      <c r="JY52" s="99">
        <v>23.135999999999999</v>
      </c>
      <c r="JZ52" s="99">
        <v>23.193999999999999</v>
      </c>
      <c r="KA52" s="99">
        <v>23.251999999999999</v>
      </c>
      <c r="KB52" s="99">
        <v>23.31</v>
      </c>
      <c r="KC52" s="99">
        <v>23.367999999999999</v>
      </c>
      <c r="KD52" s="99">
        <v>23.425999999999998</v>
      </c>
      <c r="KE52" s="99">
        <v>23.484000000000002</v>
      </c>
      <c r="KF52" s="99">
        <v>23.542000000000002</v>
      </c>
      <c r="KG52" s="99">
        <v>23.6</v>
      </c>
      <c r="KH52" s="99">
        <v>23.658000000000001</v>
      </c>
      <c r="KI52" s="99">
        <v>23.716000000000001</v>
      </c>
      <c r="KJ52" s="99">
        <v>23.774000000000001</v>
      </c>
      <c r="KK52" s="99">
        <v>23.832000000000001</v>
      </c>
      <c r="KL52" s="99">
        <v>23.89</v>
      </c>
      <c r="KM52" s="99">
        <v>23.948</v>
      </c>
      <c r="KN52" s="99">
        <v>24.006</v>
      </c>
      <c r="KO52" s="99">
        <v>24.064</v>
      </c>
      <c r="KP52" s="99">
        <v>24.122</v>
      </c>
      <c r="KQ52" s="99">
        <v>24.18</v>
      </c>
      <c r="KR52" s="99">
        <v>24.238</v>
      </c>
      <c r="KS52" s="99">
        <v>24.295999999999999</v>
      </c>
      <c r="KT52" s="99">
        <v>24.353999999999999</v>
      </c>
      <c r="KU52" s="99">
        <v>24.411999999999999</v>
      </c>
      <c r="KV52" s="99">
        <v>24.47</v>
      </c>
      <c r="KW52" s="99">
        <v>24.527999999999999</v>
      </c>
      <c r="KX52" s="99">
        <v>24.585999999999999</v>
      </c>
      <c r="KY52" s="99">
        <v>24.643999999999998</v>
      </c>
      <c r="KZ52" s="99">
        <v>24.702000000000002</v>
      </c>
      <c r="LA52" s="99">
        <v>24.76</v>
      </c>
      <c r="LB52" s="99">
        <v>24.818000000000001</v>
      </c>
      <c r="LC52" s="99">
        <v>24.876000000000001</v>
      </c>
      <c r="LD52" s="99">
        <v>24.934000000000001</v>
      </c>
      <c r="LE52" s="99">
        <v>24.992000000000001</v>
      </c>
      <c r="LF52" s="99">
        <v>25.05</v>
      </c>
      <c r="LG52" s="99">
        <v>25.108000000000001</v>
      </c>
      <c r="LH52" s="99">
        <v>25.166</v>
      </c>
      <c r="LI52" s="99">
        <v>25.224</v>
      </c>
      <c r="LJ52" s="99">
        <v>25.282</v>
      </c>
      <c r="LK52" s="99">
        <v>25.34</v>
      </c>
      <c r="LL52" s="99">
        <v>25.398</v>
      </c>
      <c r="LM52" s="99">
        <v>25.456</v>
      </c>
      <c r="LN52" s="99">
        <v>25.513999999999999</v>
      </c>
      <c r="LO52" s="99">
        <v>25.571999999999999</v>
      </c>
      <c r="LP52" s="99">
        <v>25.63</v>
      </c>
      <c r="LQ52" s="99">
        <v>25.687999999999999</v>
      </c>
      <c r="LR52" s="99">
        <v>25.745999999999999</v>
      </c>
      <c r="LS52" s="99">
        <v>25.803999999999998</v>
      </c>
      <c r="LT52" s="99">
        <v>25.861999999999998</v>
      </c>
      <c r="LU52" s="99">
        <v>25.92</v>
      </c>
      <c r="LV52" s="99">
        <v>25.978000000000002</v>
      </c>
      <c r="LW52" s="99">
        <v>26.036000000000001</v>
      </c>
      <c r="LX52" s="99">
        <v>26.094000000000001</v>
      </c>
      <c r="LY52" s="99">
        <v>26.152000000000001</v>
      </c>
      <c r="LZ52" s="99">
        <v>26.21</v>
      </c>
      <c r="MA52" s="99">
        <v>26.268000000000001</v>
      </c>
      <c r="MB52" s="99">
        <v>26.326000000000001</v>
      </c>
      <c r="MC52" s="99">
        <v>26.384</v>
      </c>
      <c r="MD52" s="99">
        <v>26.442</v>
      </c>
      <c r="ME52" s="99">
        <v>26.5</v>
      </c>
      <c r="MF52" s="99">
        <v>26.558</v>
      </c>
      <c r="MG52" s="99">
        <v>26.616</v>
      </c>
      <c r="MH52" s="99">
        <v>26.673999999999999</v>
      </c>
      <c r="MI52" s="99">
        <v>26.731999999999999</v>
      </c>
      <c r="MJ52" s="99">
        <v>26.79</v>
      </c>
      <c r="MK52" s="99">
        <v>26.847999999999999</v>
      </c>
      <c r="ML52" s="99">
        <v>26.905999999999999</v>
      </c>
      <c r="MM52" s="99">
        <v>26.963999999999999</v>
      </c>
      <c r="MN52" s="99">
        <v>27.021999999999998</v>
      </c>
      <c r="MO52" s="99">
        <v>27.08</v>
      </c>
      <c r="MP52" s="99">
        <v>27.138000000000002</v>
      </c>
      <c r="MQ52" s="99">
        <v>27.196000000000002</v>
      </c>
      <c r="MR52" s="99">
        <v>27.254000000000001</v>
      </c>
      <c r="MS52" s="99">
        <v>27.312000000000001</v>
      </c>
      <c r="MT52" s="99">
        <v>27.37</v>
      </c>
      <c r="MU52" s="99">
        <v>27.428000000000001</v>
      </c>
      <c r="MV52" s="99">
        <v>27.486000000000001</v>
      </c>
      <c r="MW52" s="99">
        <v>27.544</v>
      </c>
      <c r="MX52" s="99">
        <v>27.602</v>
      </c>
      <c r="MY52" s="99">
        <v>27.66</v>
      </c>
      <c r="MZ52" s="99">
        <v>27.718</v>
      </c>
      <c r="NA52" s="99">
        <v>27.776</v>
      </c>
      <c r="NB52" s="99">
        <v>27.834</v>
      </c>
      <c r="NC52" s="99">
        <v>27.891999999999999</v>
      </c>
      <c r="ND52" s="99">
        <v>27.95</v>
      </c>
      <c r="NE52" s="99">
        <v>28.007999999999999</v>
      </c>
      <c r="NF52" s="99">
        <v>28.065999999999999</v>
      </c>
      <c r="NG52" s="99">
        <v>28.123999999999999</v>
      </c>
      <c r="NH52" s="99">
        <v>28.181999999999999</v>
      </c>
      <c r="NI52" s="99">
        <v>28.24</v>
      </c>
      <c r="NJ52" s="99">
        <v>28.297999999999998</v>
      </c>
      <c r="NK52" s="99">
        <v>28.356000000000002</v>
      </c>
      <c r="NL52" s="99">
        <v>28.414000000000001</v>
      </c>
      <c r="NM52" s="99">
        <v>28.472000000000001</v>
      </c>
      <c r="NN52" s="99">
        <v>28.53</v>
      </c>
      <c r="NO52" s="99">
        <v>28.588000000000001</v>
      </c>
      <c r="NP52" s="99">
        <v>28.646000000000001</v>
      </c>
      <c r="NQ52" s="99">
        <v>28.704000000000001</v>
      </c>
      <c r="NR52" s="99">
        <v>28.762</v>
      </c>
      <c r="NS52" s="99">
        <v>28.82</v>
      </c>
      <c r="NT52" s="99">
        <v>28.878</v>
      </c>
      <c r="NU52" s="99">
        <v>28.936</v>
      </c>
      <c r="NV52" s="99">
        <v>28.994</v>
      </c>
      <c r="NW52" s="99">
        <v>29.052</v>
      </c>
      <c r="NX52" s="99">
        <v>29.11</v>
      </c>
      <c r="NY52" s="99">
        <v>29.167999999999999</v>
      </c>
      <c r="NZ52" s="99">
        <v>29.225999999999999</v>
      </c>
      <c r="OA52" s="99">
        <v>29.283999999999999</v>
      </c>
      <c r="OB52" s="99">
        <v>29.341999999999999</v>
      </c>
      <c r="OC52" s="99">
        <v>29.4</v>
      </c>
      <c r="OD52" s="99">
        <v>29.457999999999998</v>
      </c>
      <c r="OE52" s="99">
        <v>29.515999999999998</v>
      </c>
      <c r="OF52" s="99">
        <v>29.574000000000002</v>
      </c>
      <c r="OG52" s="99">
        <v>29.632000000000001</v>
      </c>
      <c r="OH52" s="99">
        <v>29.69</v>
      </c>
      <c r="OI52" s="99">
        <v>29.748000000000001</v>
      </c>
      <c r="OJ52" s="99">
        <v>29.806000000000001</v>
      </c>
      <c r="OK52" s="99">
        <v>29.864000000000001</v>
      </c>
      <c r="OL52" s="99">
        <v>29.922000000000001</v>
      </c>
      <c r="OM52" s="99">
        <v>29.98</v>
      </c>
      <c r="ON52" s="99">
        <v>30.038</v>
      </c>
      <c r="OO52" s="99">
        <v>30.096</v>
      </c>
      <c r="OP52" s="99">
        <v>30.154</v>
      </c>
      <c r="OQ52" s="99">
        <v>30.212</v>
      </c>
      <c r="OR52" s="99">
        <v>30.27</v>
      </c>
      <c r="OS52" s="99">
        <v>30.327999999999999</v>
      </c>
      <c r="OT52" s="99">
        <v>30.385999999999999</v>
      </c>
      <c r="OU52" s="99">
        <v>30.443999999999999</v>
      </c>
      <c r="OV52" s="99">
        <v>30.501999999999999</v>
      </c>
      <c r="OW52" s="99">
        <v>30.56</v>
      </c>
      <c r="OX52" s="99">
        <v>30.617999999999999</v>
      </c>
      <c r="OY52" s="99">
        <v>30.675999999999998</v>
      </c>
      <c r="OZ52" s="99">
        <v>30.734000000000002</v>
      </c>
      <c r="PA52" s="99">
        <v>30.792000000000002</v>
      </c>
      <c r="PB52" s="99">
        <v>30.85</v>
      </c>
      <c r="PC52" s="99">
        <v>30.908000000000001</v>
      </c>
      <c r="PD52" s="99">
        <v>30.966000000000001</v>
      </c>
      <c r="PE52" s="99">
        <v>31.024000000000001</v>
      </c>
      <c r="PF52" s="99">
        <v>31.082000000000001</v>
      </c>
      <c r="PG52" s="99">
        <v>31.14</v>
      </c>
      <c r="PH52" s="99">
        <v>31.198</v>
      </c>
      <c r="PI52" s="99">
        <v>31.256</v>
      </c>
      <c r="PJ52" s="99">
        <v>31.314</v>
      </c>
      <c r="PK52" s="99">
        <v>31.372</v>
      </c>
      <c r="PL52" s="99">
        <v>31.43</v>
      </c>
      <c r="PM52" s="99">
        <v>31.488</v>
      </c>
      <c r="PN52" s="99">
        <v>31.545999999999999</v>
      </c>
      <c r="PO52" s="99">
        <v>31.603999999999999</v>
      </c>
      <c r="PP52" s="99">
        <v>31.661999999999999</v>
      </c>
      <c r="PQ52" s="99">
        <v>31.72</v>
      </c>
      <c r="PR52" s="99">
        <v>31.777999999999999</v>
      </c>
      <c r="PS52" s="99">
        <v>31.835999999999999</v>
      </c>
      <c r="PT52" s="99">
        <v>31.893999999999998</v>
      </c>
      <c r="PU52" s="99">
        <v>31.952000000000002</v>
      </c>
      <c r="PV52" s="99">
        <v>32.01</v>
      </c>
      <c r="PW52" s="99">
        <v>32.067999999999998</v>
      </c>
      <c r="PX52" s="99">
        <v>32.125999999999998</v>
      </c>
      <c r="PY52" s="99">
        <v>32.183999999999997</v>
      </c>
      <c r="PZ52" s="99">
        <v>32.241999999999997</v>
      </c>
      <c r="QA52" s="99">
        <v>32.299999999999997</v>
      </c>
      <c r="QB52" s="99">
        <v>32.357999999999997</v>
      </c>
      <c r="QC52" s="99">
        <v>32.415999999999997</v>
      </c>
      <c r="QD52" s="99">
        <v>32.473999999999997</v>
      </c>
      <c r="QE52" s="99">
        <v>32.531999999999996</v>
      </c>
      <c r="QF52" s="99">
        <v>32.590000000000003</v>
      </c>
      <c r="QG52" s="99">
        <v>32.648000000000003</v>
      </c>
      <c r="QH52" s="99">
        <v>32.706000000000003</v>
      </c>
      <c r="QI52" s="99">
        <v>32.764000000000003</v>
      </c>
      <c r="QJ52" s="99">
        <v>32.822000000000003</v>
      </c>
      <c r="QK52" s="99">
        <v>32.880000000000003</v>
      </c>
      <c r="QL52" s="99">
        <v>32.938000000000002</v>
      </c>
      <c r="QM52" s="99">
        <v>32.996000000000002</v>
      </c>
      <c r="QN52" s="99">
        <v>33.054000000000002</v>
      </c>
      <c r="QO52" s="99">
        <v>33.112000000000002</v>
      </c>
      <c r="QP52" s="99">
        <v>33.17</v>
      </c>
      <c r="QQ52" s="99">
        <v>33.228000000000002</v>
      </c>
      <c r="QR52" s="99">
        <v>33.286000000000001</v>
      </c>
      <c r="QS52" s="99">
        <v>33.344000000000001</v>
      </c>
      <c r="QT52" s="99">
        <v>33.402000000000001</v>
      </c>
      <c r="QU52" s="99">
        <v>33.46</v>
      </c>
      <c r="QV52" s="99">
        <v>33.518000000000001</v>
      </c>
      <c r="QW52" s="99">
        <v>33.576000000000001</v>
      </c>
      <c r="QX52" s="99">
        <v>33.634</v>
      </c>
      <c r="QY52" s="99">
        <v>33.692</v>
      </c>
      <c r="QZ52" s="99">
        <v>33.75</v>
      </c>
      <c r="RA52" s="99">
        <v>33.808</v>
      </c>
      <c r="RB52" s="99">
        <v>33.866</v>
      </c>
      <c r="RC52" s="99">
        <v>33.923999999999999</v>
      </c>
      <c r="RD52" s="99">
        <v>33.981999999999999</v>
      </c>
      <c r="RE52" s="99">
        <v>34.04</v>
      </c>
      <c r="RF52" s="99">
        <v>34.097999999999999</v>
      </c>
      <c r="RG52" s="99">
        <v>34.155999999999999</v>
      </c>
      <c r="RH52" s="99">
        <v>34.213999999999999</v>
      </c>
      <c r="RI52" s="99">
        <v>34.271999999999998</v>
      </c>
      <c r="RJ52" s="99">
        <v>34.33</v>
      </c>
      <c r="RK52" s="99">
        <v>34.387999999999998</v>
      </c>
      <c r="RL52" s="99">
        <v>34.445999999999998</v>
      </c>
      <c r="RM52" s="99">
        <v>34.503999999999998</v>
      </c>
      <c r="RN52" s="99">
        <v>34.561999999999998</v>
      </c>
      <c r="RO52" s="99">
        <v>34.619999999999997</v>
      </c>
      <c r="RP52" s="99">
        <v>34.677999999999997</v>
      </c>
      <c r="RQ52" s="99">
        <v>34.735999999999997</v>
      </c>
      <c r="RR52" s="99">
        <v>34.793999999999997</v>
      </c>
      <c r="RS52" s="99">
        <v>34.851999999999997</v>
      </c>
      <c r="RT52" s="99">
        <v>34.909999999999997</v>
      </c>
      <c r="RU52" s="99">
        <v>34.968000000000004</v>
      </c>
      <c r="RV52" s="99">
        <v>35.026000000000003</v>
      </c>
      <c r="RW52" s="99">
        <v>35.084000000000003</v>
      </c>
      <c r="RX52" s="99">
        <v>35.142000000000003</v>
      </c>
      <c r="RY52" s="99">
        <v>35.200000000000003</v>
      </c>
      <c r="RZ52" s="99">
        <v>35.258000000000003</v>
      </c>
      <c r="SA52" s="99">
        <v>35.316000000000003</v>
      </c>
      <c r="SB52" s="99">
        <v>35.374000000000002</v>
      </c>
      <c r="SC52" s="99">
        <v>35.432000000000002</v>
      </c>
      <c r="SD52" s="99">
        <v>35.49</v>
      </c>
      <c r="SE52" s="99">
        <v>35.548000000000002</v>
      </c>
      <c r="SF52" s="99">
        <v>35.606000000000002</v>
      </c>
      <c r="SG52" s="99">
        <v>35.664000000000001</v>
      </c>
      <c r="SH52" s="99">
        <v>35.722000000000001</v>
      </c>
      <c r="SI52" s="99">
        <v>35.78</v>
      </c>
      <c r="SJ52" s="99">
        <v>35.838000000000001</v>
      </c>
      <c r="SK52" s="99">
        <v>35.896000000000001</v>
      </c>
      <c r="SL52" s="99">
        <v>35.954000000000001</v>
      </c>
      <c r="SM52" s="99">
        <v>36.012</v>
      </c>
      <c r="SN52" s="99">
        <v>36.07</v>
      </c>
      <c r="SO52" s="99">
        <v>36.128</v>
      </c>
      <c r="SP52" s="99">
        <v>36.186</v>
      </c>
      <c r="SQ52" s="99">
        <v>36.244</v>
      </c>
      <c r="SR52" s="99">
        <v>36.302</v>
      </c>
      <c r="SS52" s="99">
        <v>36.36</v>
      </c>
      <c r="ST52" s="99">
        <v>36.417999999999999</v>
      </c>
      <c r="SU52" s="99">
        <v>36.475999999999999</v>
      </c>
      <c r="SV52" s="99">
        <v>36.533999999999999</v>
      </c>
      <c r="SW52" s="99">
        <v>36.591999999999999</v>
      </c>
      <c r="SX52" s="99">
        <v>36.65</v>
      </c>
      <c r="SY52" s="99">
        <v>36.707999999999998</v>
      </c>
      <c r="SZ52" s="99">
        <v>36.765999999999998</v>
      </c>
      <c r="TA52" s="99">
        <v>36.823999999999998</v>
      </c>
      <c r="TB52" s="99">
        <v>36.881999999999998</v>
      </c>
      <c r="TC52" s="99">
        <v>36.94</v>
      </c>
      <c r="TD52" s="99">
        <v>36.997999999999998</v>
      </c>
      <c r="TE52" s="99">
        <v>37.055999999999997</v>
      </c>
      <c r="TF52" s="99">
        <v>37.113999999999997</v>
      </c>
      <c r="TG52" s="99">
        <v>37.171999999999997</v>
      </c>
      <c r="TH52" s="99">
        <v>37.229999999999997</v>
      </c>
      <c r="TI52" s="99">
        <v>37.287999999999997</v>
      </c>
      <c r="TJ52" s="99">
        <v>37.345999999999997</v>
      </c>
      <c r="TK52" s="99">
        <v>37.404000000000003</v>
      </c>
      <c r="TL52" s="99">
        <v>37.462000000000003</v>
      </c>
      <c r="TM52" s="99">
        <v>37.520000000000003</v>
      </c>
      <c r="TN52" s="99">
        <v>37.578000000000003</v>
      </c>
      <c r="TO52" s="99">
        <v>37.636000000000003</v>
      </c>
      <c r="TP52" s="99">
        <v>37.694000000000003</v>
      </c>
      <c r="TQ52" s="99">
        <v>37.752000000000002</v>
      </c>
      <c r="TR52" s="99">
        <v>37.81</v>
      </c>
      <c r="TS52" s="99">
        <v>37.868000000000002</v>
      </c>
      <c r="TT52" s="99">
        <v>37.926000000000002</v>
      </c>
      <c r="TU52" s="99">
        <v>37.984000000000002</v>
      </c>
      <c r="TV52" s="99">
        <v>38.042000000000002</v>
      </c>
      <c r="TW52" s="99">
        <v>38.1</v>
      </c>
      <c r="TX52" s="99">
        <v>38.158000000000001</v>
      </c>
      <c r="TY52" s="99">
        <v>38.216000000000001</v>
      </c>
      <c r="TZ52" s="99">
        <v>38.274000000000001</v>
      </c>
      <c r="UA52" s="99">
        <v>38.332000000000001</v>
      </c>
      <c r="UB52" s="99">
        <v>38.39</v>
      </c>
      <c r="UC52" s="99">
        <v>38.448</v>
      </c>
      <c r="UD52" s="99">
        <v>38.506</v>
      </c>
      <c r="UE52" s="99">
        <v>38.564</v>
      </c>
      <c r="UF52" s="99">
        <v>38.622</v>
      </c>
      <c r="UG52" s="99">
        <v>38.68</v>
      </c>
      <c r="UH52" s="99">
        <v>38.738</v>
      </c>
      <c r="UI52" s="99">
        <v>38.795999999999999</v>
      </c>
      <c r="UJ52" s="99">
        <v>38.853999999999999</v>
      </c>
      <c r="UK52" s="99">
        <v>38.911999999999999</v>
      </c>
      <c r="UL52" s="99">
        <v>38.97</v>
      </c>
      <c r="UM52" s="99">
        <v>39.027999999999999</v>
      </c>
      <c r="UN52" s="99">
        <v>39.085999999999999</v>
      </c>
      <c r="UO52" s="99">
        <v>39.143999999999998</v>
      </c>
      <c r="UP52" s="99">
        <v>39.201999999999998</v>
      </c>
      <c r="UQ52" s="99">
        <v>39.26</v>
      </c>
      <c r="UR52" s="99">
        <v>39.317999999999998</v>
      </c>
      <c r="US52" s="99">
        <v>39.375999999999998</v>
      </c>
      <c r="UT52" s="99">
        <v>39.433999999999997</v>
      </c>
    </row>
    <row r="53" spans="1:566" x14ac:dyDescent="0.2">
      <c r="A53" s="89">
        <v>23.5</v>
      </c>
      <c r="B53" s="90">
        <v>6.66</v>
      </c>
      <c r="C53" s="90">
        <v>6.71</v>
      </c>
      <c r="D53" s="90">
        <v>6.77</v>
      </c>
      <c r="E53" s="90">
        <v>6.83</v>
      </c>
      <c r="F53" s="90">
        <v>6.89</v>
      </c>
      <c r="G53" s="90">
        <v>6.94</v>
      </c>
      <c r="H53" s="90">
        <v>7</v>
      </c>
      <c r="I53" s="90">
        <v>7.06</v>
      </c>
      <c r="J53" s="90">
        <v>7.12</v>
      </c>
      <c r="K53" s="90">
        <v>7.17</v>
      </c>
      <c r="L53" s="90">
        <v>7.23</v>
      </c>
      <c r="M53" s="90">
        <v>7.29</v>
      </c>
      <c r="N53" s="90">
        <v>7.35</v>
      </c>
      <c r="O53" s="90">
        <v>7.4</v>
      </c>
      <c r="P53" s="90">
        <v>7.46</v>
      </c>
      <c r="Q53" s="90">
        <v>7.52</v>
      </c>
      <c r="R53" s="90">
        <v>7.58</v>
      </c>
      <c r="S53" s="90">
        <v>7.63</v>
      </c>
      <c r="T53" s="90">
        <v>7.69</v>
      </c>
      <c r="U53" s="91">
        <v>7.75</v>
      </c>
      <c r="V53" s="90">
        <v>7.81</v>
      </c>
      <c r="W53" s="90">
        <v>7.86</v>
      </c>
      <c r="X53" s="90">
        <v>7.92</v>
      </c>
      <c r="Y53" s="90">
        <v>7.98</v>
      </c>
      <c r="Z53" s="90">
        <v>8.0399999999999991</v>
      </c>
      <c r="AA53" s="90">
        <v>8.09</v>
      </c>
      <c r="AB53" s="90">
        <v>8.15</v>
      </c>
      <c r="AC53" s="90">
        <v>8.2100000000000009</v>
      </c>
      <c r="AD53" s="90">
        <v>8.27</v>
      </c>
      <c r="AE53" s="90">
        <v>8.33</v>
      </c>
      <c r="AF53" s="90">
        <v>8.3800000000000008</v>
      </c>
      <c r="AG53" s="90">
        <v>8.44</v>
      </c>
      <c r="AH53" s="90">
        <v>8.5</v>
      </c>
      <c r="AI53" s="90">
        <v>8.56</v>
      </c>
      <c r="AJ53" s="90">
        <v>8.61</v>
      </c>
      <c r="AK53" s="90">
        <v>8.67</v>
      </c>
      <c r="AL53" s="90">
        <v>8.73</v>
      </c>
      <c r="AM53" s="90">
        <v>8.7899999999999991</v>
      </c>
      <c r="AN53" s="90">
        <v>8.84</v>
      </c>
      <c r="AO53" s="91">
        <v>8.9</v>
      </c>
      <c r="AP53" s="90">
        <v>8.95846153846154</v>
      </c>
      <c r="AQ53" s="90">
        <v>9.0160328330206401</v>
      </c>
      <c r="AR53" s="90">
        <v>9.0736041275797401</v>
      </c>
      <c r="AS53" s="90">
        <v>9.1311754221388401</v>
      </c>
      <c r="AT53" s="90">
        <v>9.1887467166979402</v>
      </c>
      <c r="AU53" s="90">
        <v>9.2463180112570296</v>
      </c>
      <c r="AV53" s="90">
        <v>9.3038893058161296</v>
      </c>
      <c r="AW53" s="90">
        <v>9.3614606003752296</v>
      </c>
      <c r="AX53" s="90">
        <v>9.4190318949343297</v>
      </c>
      <c r="AY53" s="90">
        <v>9.4766031894934297</v>
      </c>
      <c r="AZ53" s="90">
        <v>9.5341744840525298</v>
      </c>
      <c r="BA53" s="90">
        <v>9.5917457786116298</v>
      </c>
      <c r="BB53" s="90">
        <v>9.6493170731707298</v>
      </c>
      <c r="BC53" s="90">
        <v>9.7068883677298299</v>
      </c>
      <c r="BD53" s="90">
        <v>9.7644596622889299</v>
      </c>
      <c r="BE53" s="90">
        <v>9.82203095684803</v>
      </c>
      <c r="BF53" s="90">
        <v>9.87960225140713</v>
      </c>
      <c r="BG53" s="90">
        <v>9.93717354596623</v>
      </c>
      <c r="BH53" s="90">
        <v>9.9947448405253301</v>
      </c>
      <c r="BI53" s="91">
        <v>10.0523161350844</v>
      </c>
      <c r="BJ53" s="90">
        <v>10.1098874296435</v>
      </c>
      <c r="BK53" s="99">
        <v>10.1674587242026</v>
      </c>
      <c r="BL53" s="99">
        <v>10.2250300187617</v>
      </c>
      <c r="BM53" s="99">
        <v>10.2826013133208</v>
      </c>
      <c r="BN53" s="99">
        <v>10.3401726078799</v>
      </c>
      <c r="BO53" s="99">
        <v>10.397743902439</v>
      </c>
      <c r="BP53" s="99">
        <v>10.4553151969981</v>
      </c>
      <c r="BQ53" s="99">
        <v>10.5128864915572</v>
      </c>
      <c r="BR53" s="99">
        <v>10.5704577861163</v>
      </c>
      <c r="BS53" s="99">
        <v>10.6280290806754</v>
      </c>
      <c r="BT53" s="99">
        <v>10.6856003752345</v>
      </c>
      <c r="BU53" s="99">
        <v>10.7431716697936</v>
      </c>
      <c r="BV53" s="99">
        <v>10.8007429643527</v>
      </c>
      <c r="BW53" s="99">
        <v>10.8583142589118</v>
      </c>
      <c r="BX53" s="99">
        <v>10.915885553470901</v>
      </c>
      <c r="BY53" s="99">
        <v>10.973456848030001</v>
      </c>
      <c r="BZ53" s="99">
        <v>11.031028142589101</v>
      </c>
      <c r="CA53" s="99">
        <v>11.088599437148201</v>
      </c>
      <c r="CB53" s="99">
        <v>11.146170731707301</v>
      </c>
      <c r="CC53" s="99">
        <v>11.203742026266401</v>
      </c>
      <c r="CD53" s="99">
        <v>11.261313320825501</v>
      </c>
      <c r="CE53" s="99">
        <v>11.318884615384601</v>
      </c>
      <c r="CF53" s="99">
        <v>11.376455909943701</v>
      </c>
      <c r="CG53" s="99">
        <v>11.434027204502801</v>
      </c>
      <c r="CH53" s="99">
        <v>11.491598499061899</v>
      </c>
      <c r="CI53" s="99">
        <v>11.549169793620999</v>
      </c>
      <c r="CJ53" s="99">
        <v>11.606741088180099</v>
      </c>
      <c r="CK53" s="99">
        <v>11.664312382739199</v>
      </c>
      <c r="CL53" s="99">
        <v>11.721883677298299</v>
      </c>
      <c r="CM53" s="99">
        <v>11.779454971857399</v>
      </c>
      <c r="CN53" s="99">
        <v>11.837026266416499</v>
      </c>
      <c r="CO53" s="99">
        <v>11.894597560975599</v>
      </c>
      <c r="CP53" s="99">
        <v>11.952168855534699</v>
      </c>
      <c r="CQ53" s="99">
        <v>12.009740150093799</v>
      </c>
      <c r="CR53" s="99">
        <v>12.0673114446529</v>
      </c>
      <c r="CS53" s="99">
        <v>12.124882739212</v>
      </c>
      <c r="CT53" s="99">
        <v>12.1824540337711</v>
      </c>
      <c r="CU53" s="99">
        <v>12.2400253283302</v>
      </c>
      <c r="CV53" s="99">
        <v>12.2975966228893</v>
      </c>
      <c r="CW53" s="99">
        <v>12.3551679174484</v>
      </c>
      <c r="CX53" s="99">
        <v>12.4127392120075</v>
      </c>
      <c r="CY53" s="99">
        <v>12.4703105065666</v>
      </c>
      <c r="CZ53" s="99">
        <v>12.5278818011257</v>
      </c>
      <c r="DA53" s="99">
        <v>12.5854530956848</v>
      </c>
      <c r="DB53" s="99">
        <v>12.6430243902439</v>
      </c>
      <c r="DC53" s="99">
        <v>12.700595684803</v>
      </c>
      <c r="DD53" s="99">
        <v>12.7581669793621</v>
      </c>
      <c r="DE53" s="99">
        <v>12.8157382739212</v>
      </c>
      <c r="DF53" s="99">
        <v>12.8733095684803</v>
      </c>
      <c r="DG53" s="99">
        <v>12.9308808630394</v>
      </c>
      <c r="DH53" s="99">
        <v>12.9884521575985</v>
      </c>
      <c r="DI53" s="99">
        <v>13.0460234521576</v>
      </c>
      <c r="DJ53" s="99">
        <v>13.1035947467167</v>
      </c>
      <c r="DK53" s="99">
        <v>13.1611660412758</v>
      </c>
      <c r="DL53" s="99">
        <v>13.2187373358349</v>
      </c>
      <c r="DM53" s="99">
        <v>13.276308630394</v>
      </c>
      <c r="DN53" s="99">
        <v>13.3338799249531</v>
      </c>
      <c r="DO53" s="99">
        <v>13.3914512195122</v>
      </c>
      <c r="DP53" s="99">
        <v>13.4490225140713</v>
      </c>
      <c r="DQ53" s="99">
        <v>13.5065938086304</v>
      </c>
      <c r="DR53" s="99">
        <v>13.564165103189501</v>
      </c>
      <c r="DS53" s="99">
        <v>13.621736397748601</v>
      </c>
      <c r="DT53" s="99">
        <v>13.679307692307701</v>
      </c>
      <c r="DU53" s="99">
        <v>13.736878986866801</v>
      </c>
      <c r="DV53" s="99">
        <v>13.794450281425901</v>
      </c>
      <c r="DW53" s="99">
        <v>13.852021575985001</v>
      </c>
      <c r="DX53" s="99">
        <v>13.909592870544101</v>
      </c>
      <c r="DY53" s="99">
        <v>13.967164165103201</v>
      </c>
      <c r="DZ53" s="99">
        <v>14.024735459662301</v>
      </c>
      <c r="EA53" s="99">
        <v>14.082306754221401</v>
      </c>
      <c r="EB53" s="99">
        <v>14.139878048780499</v>
      </c>
      <c r="EC53" s="99">
        <v>14.197449343339599</v>
      </c>
      <c r="ED53" s="99">
        <v>14.255020637898699</v>
      </c>
      <c r="EE53" s="99">
        <v>14.312591932457799</v>
      </c>
      <c r="EF53" s="99">
        <v>14.370163227016899</v>
      </c>
      <c r="EG53" s="99">
        <v>14.427734521575999</v>
      </c>
      <c r="EH53" s="99">
        <v>14.485305816135099</v>
      </c>
      <c r="EI53" s="99">
        <v>14.542877110694199</v>
      </c>
      <c r="EJ53" s="99">
        <v>14.600448405253299</v>
      </c>
      <c r="EK53" s="99">
        <v>14.658019699812399</v>
      </c>
      <c r="EL53" s="99">
        <v>14.7155909943715</v>
      </c>
      <c r="EM53" s="99">
        <v>14.7731622889306</v>
      </c>
      <c r="EN53" s="99">
        <v>14.8307335834897</v>
      </c>
      <c r="EO53" s="99">
        <v>14.8883048780488</v>
      </c>
      <c r="EP53" s="99">
        <v>14.9458761726079</v>
      </c>
      <c r="EQ53" s="99">
        <v>15.003447467167</v>
      </c>
      <c r="ER53" s="99">
        <v>15.0610187617261</v>
      </c>
      <c r="ES53" s="99">
        <v>15.1185900562852</v>
      </c>
      <c r="ET53" s="99">
        <v>15.1761613508443</v>
      </c>
      <c r="EU53" s="99">
        <v>15.2337326454034</v>
      </c>
      <c r="EV53" s="99">
        <v>15.2913039399625</v>
      </c>
      <c r="EW53" s="99">
        <v>15.3488752345216</v>
      </c>
      <c r="EX53" s="99">
        <v>15.4064465290807</v>
      </c>
      <c r="EY53" s="99">
        <v>15.4640178236398</v>
      </c>
      <c r="EZ53" s="99">
        <v>15.5215891181989</v>
      </c>
      <c r="FA53" s="99">
        <v>15.579160412758</v>
      </c>
      <c r="FB53" s="99">
        <v>15.6367317073171</v>
      </c>
      <c r="FC53" s="99">
        <v>15.6943030018762</v>
      </c>
      <c r="FD53" s="99">
        <v>15.7518742964353</v>
      </c>
      <c r="FE53" s="99">
        <v>15.8094455909944</v>
      </c>
      <c r="FF53" s="99">
        <v>15.8670168855535</v>
      </c>
      <c r="FG53" s="99">
        <v>15.9245881801126</v>
      </c>
      <c r="FH53" s="99">
        <v>15.9821594746717</v>
      </c>
      <c r="FI53" s="99">
        <v>16.0397307692308</v>
      </c>
      <c r="FJ53" s="99">
        <v>16.0973020637899</v>
      </c>
      <c r="FK53" s="99">
        <v>16.154873358349001</v>
      </c>
      <c r="FL53" s="99">
        <v>16.212444652908101</v>
      </c>
      <c r="FM53" s="99">
        <v>16.270015947467201</v>
      </c>
      <c r="FN53" s="99">
        <v>16.327587242026301</v>
      </c>
      <c r="FO53" s="99">
        <v>16.385158536585401</v>
      </c>
      <c r="FP53" s="99">
        <v>16.442729831144501</v>
      </c>
      <c r="FQ53" s="99">
        <v>16.500301125703601</v>
      </c>
      <c r="FR53" s="99">
        <v>16.557872420262701</v>
      </c>
      <c r="FS53" s="99">
        <v>16.615443714821801</v>
      </c>
      <c r="FT53" s="99">
        <v>16.673015009380901</v>
      </c>
      <c r="FU53" s="99">
        <v>16.730586303940001</v>
      </c>
      <c r="FV53" s="99">
        <v>16.788157598499101</v>
      </c>
      <c r="FW53" s="99">
        <v>16.845728893058201</v>
      </c>
      <c r="FX53" s="99">
        <v>16.903300187617301</v>
      </c>
      <c r="FY53" s="99">
        <v>16.960871482176401</v>
      </c>
      <c r="FZ53" s="99">
        <v>17.018442776735501</v>
      </c>
      <c r="GA53" s="99">
        <v>17.076014071294601</v>
      </c>
      <c r="GB53" s="99">
        <v>17.133585365853701</v>
      </c>
      <c r="GC53" s="99">
        <v>17.191156660412801</v>
      </c>
      <c r="GD53" s="99">
        <v>17.248727954971901</v>
      </c>
      <c r="GE53" s="99">
        <v>17.306299249531001</v>
      </c>
      <c r="GF53" s="99">
        <v>17.363870544090101</v>
      </c>
      <c r="GG53" s="99">
        <v>17.421441838649201</v>
      </c>
      <c r="GH53" s="99">
        <v>17.479013133208301</v>
      </c>
      <c r="GI53" s="99">
        <v>17.536584427767401</v>
      </c>
      <c r="GJ53" s="99">
        <v>17.594155722326501</v>
      </c>
      <c r="GK53" s="99">
        <v>17.651727016885602</v>
      </c>
      <c r="GL53" s="99">
        <v>17.709298311444702</v>
      </c>
      <c r="GM53" s="99">
        <v>17.766869606003802</v>
      </c>
      <c r="GN53" s="99">
        <v>17.824440900562902</v>
      </c>
      <c r="GO53" s="99">
        <v>17.882012195122002</v>
      </c>
      <c r="GP53" s="99">
        <v>17.939583489681102</v>
      </c>
      <c r="GQ53" s="99">
        <v>17.997154784240202</v>
      </c>
      <c r="GR53" s="99">
        <v>18.054726078799298</v>
      </c>
      <c r="GS53" s="99">
        <v>18.112297373358398</v>
      </c>
      <c r="GT53" s="99">
        <v>18.169868667917498</v>
      </c>
      <c r="GU53" s="99">
        <v>18.227439962476598</v>
      </c>
      <c r="GV53" s="99">
        <v>18.285011257035698</v>
      </c>
      <c r="GW53" s="99">
        <v>18.342582551594798</v>
      </c>
      <c r="GX53" s="99">
        <v>18.400153846153898</v>
      </c>
      <c r="GY53" s="99">
        <v>18.457725140712999</v>
      </c>
      <c r="GZ53" s="99">
        <v>18.515296435272099</v>
      </c>
      <c r="HA53" s="99">
        <v>18.572867729831199</v>
      </c>
      <c r="HB53" s="99">
        <v>18.630439024390299</v>
      </c>
      <c r="HC53" s="99">
        <v>18.688010318949399</v>
      </c>
      <c r="HD53" s="99">
        <v>18.745581613508499</v>
      </c>
      <c r="HE53" s="99">
        <v>18.803152908067599</v>
      </c>
      <c r="HF53" s="99">
        <v>18.860724202626699</v>
      </c>
      <c r="HG53" s="99">
        <v>18.918295497185799</v>
      </c>
      <c r="HH53" s="99">
        <v>18.975866791744899</v>
      </c>
      <c r="HI53" s="99">
        <v>19.033438086303999</v>
      </c>
      <c r="HJ53" s="99">
        <v>19.091009380863099</v>
      </c>
      <c r="HK53" s="99">
        <v>19.148580675422199</v>
      </c>
      <c r="HL53" s="99">
        <v>19.206151969981299</v>
      </c>
      <c r="HM53" s="99">
        <v>19.263723264540399</v>
      </c>
      <c r="HN53" s="99">
        <v>19.321294559099499</v>
      </c>
      <c r="HO53" s="99">
        <v>19.378865853658599</v>
      </c>
      <c r="HP53" s="99">
        <v>19.436437148217699</v>
      </c>
      <c r="HQ53" s="99">
        <v>19.494008442776799</v>
      </c>
      <c r="HR53" s="99">
        <v>19.551579737335899</v>
      </c>
      <c r="HS53" s="99">
        <v>19.609151031894999</v>
      </c>
      <c r="HT53" s="99">
        <v>19.666722326454099</v>
      </c>
      <c r="HU53" s="99">
        <v>19.724293621013199</v>
      </c>
      <c r="HV53" s="99">
        <v>19.781864915572299</v>
      </c>
      <c r="HW53" s="99">
        <v>19.839436210131399</v>
      </c>
      <c r="HX53" s="99">
        <v>19.8970075046905</v>
      </c>
      <c r="HY53" s="99">
        <v>19.9545787992496</v>
      </c>
      <c r="HZ53" s="99">
        <v>20.0121500938087</v>
      </c>
      <c r="IA53" s="99">
        <v>20.0697213883678</v>
      </c>
      <c r="IB53" s="99">
        <v>20.1272926829269</v>
      </c>
      <c r="IC53" s="99">
        <v>20.184863977486</v>
      </c>
      <c r="ID53" s="99">
        <v>20.2424352720451</v>
      </c>
      <c r="IE53" s="99">
        <v>20.3000065666042</v>
      </c>
      <c r="IF53" s="99">
        <v>20.3575778611633</v>
      </c>
      <c r="IG53" s="99">
        <v>20.4151491557224</v>
      </c>
      <c r="IH53" s="99">
        <v>20.4727204502815</v>
      </c>
      <c r="II53" s="99">
        <v>20.5302917448406</v>
      </c>
      <c r="IJ53" s="99">
        <v>20.5878630393997</v>
      </c>
      <c r="IK53" s="99">
        <v>20.6454343339588</v>
      </c>
      <c r="IL53" s="99">
        <v>20.7030056285179</v>
      </c>
      <c r="IM53" s="99">
        <v>20.760576923077</v>
      </c>
      <c r="IN53" s="99">
        <v>20.8181482176361</v>
      </c>
      <c r="IO53" s="99">
        <v>20.8757195121952</v>
      </c>
      <c r="IP53" s="99">
        <v>20.9332908067543</v>
      </c>
      <c r="IQ53" s="99">
        <v>20.9908621013134</v>
      </c>
      <c r="IR53" s="99">
        <v>21.0484333958725</v>
      </c>
      <c r="IS53" s="99">
        <v>21.1060046904316</v>
      </c>
      <c r="IT53" s="99">
        <v>21.1635759849907</v>
      </c>
      <c r="IU53" s="99">
        <v>21.2211472795498</v>
      </c>
      <c r="IV53" s="99">
        <v>21.2787185741089</v>
      </c>
      <c r="IW53" s="99">
        <v>21.336289868668</v>
      </c>
      <c r="IX53" s="99">
        <v>21.393861163227101</v>
      </c>
      <c r="IY53" s="99">
        <v>21.451432457786201</v>
      </c>
      <c r="IZ53" s="99">
        <v>21.509003752345301</v>
      </c>
      <c r="JA53" s="99">
        <v>21.566575046904401</v>
      </c>
      <c r="JB53" s="99">
        <v>21.624146341463501</v>
      </c>
      <c r="JC53" s="99">
        <v>21.681717636022601</v>
      </c>
      <c r="JD53" s="99">
        <v>21.739288930581701</v>
      </c>
      <c r="JE53" s="99">
        <v>21.796860225140801</v>
      </c>
      <c r="JF53" s="99">
        <v>21.854431519699801</v>
      </c>
      <c r="JG53" s="99">
        <v>21.912002814258901</v>
      </c>
      <c r="JH53" s="99">
        <v>21.969574108818001</v>
      </c>
      <c r="JI53" s="99">
        <v>22.027145403377101</v>
      </c>
      <c r="JJ53" s="99">
        <v>22.084716697936202</v>
      </c>
      <c r="JK53" s="99">
        <v>22.142287992495302</v>
      </c>
      <c r="JL53" s="99">
        <v>22.199859287054402</v>
      </c>
      <c r="JM53" s="99">
        <v>22.257430581613502</v>
      </c>
      <c r="JN53" s="99">
        <v>22.315001876172602</v>
      </c>
      <c r="JO53" s="99">
        <v>22.372573170731702</v>
      </c>
      <c r="JP53" s="99">
        <v>22.430144465290802</v>
      </c>
      <c r="JQ53" s="99">
        <v>22.487715759849898</v>
      </c>
      <c r="JR53" s="99">
        <v>22.545287054408998</v>
      </c>
      <c r="JS53" s="99">
        <v>22.602858348968098</v>
      </c>
      <c r="JT53" s="99">
        <v>22.660429643527198</v>
      </c>
      <c r="JU53" s="99">
        <v>22.718000938086298</v>
      </c>
      <c r="JV53" s="99">
        <v>22.775572232645398</v>
      </c>
      <c r="JW53" s="99">
        <v>22.833143527204498</v>
      </c>
      <c r="JX53" s="99">
        <v>22.890714821763599</v>
      </c>
      <c r="JY53" s="99">
        <v>22.948286116322699</v>
      </c>
      <c r="JZ53" s="99">
        <v>23.005857410881799</v>
      </c>
      <c r="KA53" s="99">
        <v>23.063428705440899</v>
      </c>
      <c r="KB53" s="99">
        <v>23.120999999999999</v>
      </c>
      <c r="KC53" s="99">
        <v>23.178571294559099</v>
      </c>
      <c r="KD53" s="99">
        <v>23.236142589118199</v>
      </c>
      <c r="KE53" s="99">
        <v>23.293713883677299</v>
      </c>
      <c r="KF53" s="99">
        <v>23.351285178236399</v>
      </c>
      <c r="KG53" s="99">
        <v>23.408856472795499</v>
      </c>
      <c r="KH53" s="99">
        <v>23.466427767354599</v>
      </c>
      <c r="KI53" s="99">
        <v>23.523999061913699</v>
      </c>
      <c r="KJ53" s="99">
        <v>23.581570356472799</v>
      </c>
      <c r="KK53" s="99">
        <v>23.639141651031899</v>
      </c>
      <c r="KL53" s="99">
        <v>23.696712945590999</v>
      </c>
      <c r="KM53" s="99">
        <v>23.754284240150099</v>
      </c>
      <c r="KN53" s="99">
        <v>23.811855534709199</v>
      </c>
      <c r="KO53" s="99">
        <v>23.869426829268299</v>
      </c>
      <c r="KP53" s="99">
        <v>23.926998123827399</v>
      </c>
      <c r="KQ53" s="99">
        <v>23.984569418386499</v>
      </c>
      <c r="KR53" s="99">
        <v>24.042140712945599</v>
      </c>
      <c r="KS53" s="99">
        <v>24.099712007504699</v>
      </c>
      <c r="KT53" s="99">
        <v>24.157283302063799</v>
      </c>
      <c r="KU53" s="99">
        <v>24.214854596622899</v>
      </c>
      <c r="KV53" s="99">
        <v>24.272425891181999</v>
      </c>
      <c r="KW53" s="99">
        <v>24.329997185741099</v>
      </c>
      <c r="KX53" s="99">
        <v>24.3875684803002</v>
      </c>
      <c r="KY53" s="99">
        <v>24.4451397748593</v>
      </c>
      <c r="KZ53" s="99">
        <v>24.5027110694184</v>
      </c>
      <c r="LA53" s="99">
        <v>24.5602823639775</v>
      </c>
      <c r="LB53" s="99">
        <v>24.6178536585366</v>
      </c>
      <c r="LC53" s="99">
        <v>24.6754249530957</v>
      </c>
      <c r="LD53" s="99">
        <v>24.7329962476548</v>
      </c>
      <c r="LE53" s="99">
        <v>24.7905675422139</v>
      </c>
      <c r="LF53" s="99">
        <v>24.848138836773</v>
      </c>
      <c r="LG53" s="99">
        <v>24.9057101313321</v>
      </c>
      <c r="LH53" s="99">
        <v>24.9632814258912</v>
      </c>
      <c r="LI53" s="99">
        <v>25.0208527204503</v>
      </c>
      <c r="LJ53" s="99">
        <v>25.0784240150094</v>
      </c>
      <c r="LK53" s="99">
        <v>25.1359953095685</v>
      </c>
      <c r="LL53" s="99">
        <v>25.1935666041276</v>
      </c>
      <c r="LM53" s="99">
        <v>25.2511378986867</v>
      </c>
      <c r="LN53" s="99">
        <v>25.3087091932458</v>
      </c>
      <c r="LO53" s="99">
        <v>25.3662804878049</v>
      </c>
      <c r="LP53" s="99">
        <v>25.423851782364</v>
      </c>
      <c r="LQ53" s="99">
        <v>25.4814230769231</v>
      </c>
      <c r="LR53" s="99">
        <v>25.5389943714822</v>
      </c>
      <c r="LS53" s="99">
        <v>25.5965656660413</v>
      </c>
      <c r="LT53" s="99">
        <v>25.6541369606004</v>
      </c>
      <c r="LU53" s="99">
        <v>25.7117082551595</v>
      </c>
      <c r="LV53" s="99">
        <v>25.7692795497186</v>
      </c>
      <c r="LW53" s="99">
        <v>25.826850844277701</v>
      </c>
      <c r="LX53" s="99">
        <v>25.884422138836801</v>
      </c>
      <c r="LY53" s="99">
        <v>25.941993433395901</v>
      </c>
      <c r="LZ53" s="99">
        <v>25.999564727955001</v>
      </c>
      <c r="MA53" s="99">
        <v>26.057136022514101</v>
      </c>
      <c r="MB53" s="99">
        <v>26.114707317073201</v>
      </c>
      <c r="MC53" s="99">
        <v>26.172278611632301</v>
      </c>
      <c r="MD53" s="99">
        <v>26.229849906191401</v>
      </c>
      <c r="ME53" s="99">
        <v>26.287421200750501</v>
      </c>
      <c r="MF53" s="99">
        <v>26.344992495309601</v>
      </c>
      <c r="MG53" s="99">
        <v>26.402563789868701</v>
      </c>
      <c r="MH53" s="99">
        <v>26.460135084427801</v>
      </c>
      <c r="MI53" s="99">
        <v>26.517706378986901</v>
      </c>
      <c r="MJ53" s="99">
        <v>26.575277673546001</v>
      </c>
      <c r="MK53" s="99">
        <v>26.632848968105101</v>
      </c>
      <c r="ML53" s="99">
        <v>26.690420262664201</v>
      </c>
      <c r="MM53" s="99">
        <v>26.747991557223301</v>
      </c>
      <c r="MN53" s="99">
        <v>26.805562851782401</v>
      </c>
      <c r="MO53" s="99">
        <v>26.863134146341501</v>
      </c>
      <c r="MP53" s="99">
        <v>26.920705440900601</v>
      </c>
      <c r="MQ53" s="99">
        <v>26.978276735459701</v>
      </c>
      <c r="MR53" s="99">
        <v>27.035848030018801</v>
      </c>
      <c r="MS53" s="99">
        <v>27.093419324577901</v>
      </c>
      <c r="MT53" s="99">
        <v>27.150990619137001</v>
      </c>
      <c r="MU53" s="99">
        <v>27.208561913696101</v>
      </c>
      <c r="MV53" s="99">
        <v>27.266133208255201</v>
      </c>
      <c r="MW53" s="99">
        <v>27.323704502814302</v>
      </c>
      <c r="MX53" s="99">
        <v>27.381275797373402</v>
      </c>
      <c r="MY53" s="99">
        <v>27.438847091932502</v>
      </c>
      <c r="MZ53" s="99">
        <v>27.496418386491602</v>
      </c>
      <c r="NA53" s="99">
        <v>27.553989681050702</v>
      </c>
      <c r="NB53" s="99">
        <v>27.611560975609802</v>
      </c>
      <c r="NC53" s="99">
        <v>27.669132270168902</v>
      </c>
      <c r="ND53" s="99">
        <v>27.726703564727998</v>
      </c>
      <c r="NE53" s="99">
        <v>27.784274859287098</v>
      </c>
      <c r="NF53" s="99">
        <v>27.841846153846198</v>
      </c>
      <c r="NG53" s="99">
        <v>27.899417448405298</v>
      </c>
      <c r="NH53" s="99">
        <v>27.956988742964398</v>
      </c>
      <c r="NI53" s="99">
        <v>28.014560037523498</v>
      </c>
      <c r="NJ53" s="99">
        <v>28.072131332082598</v>
      </c>
      <c r="NK53" s="99">
        <v>28.129702626641699</v>
      </c>
      <c r="NL53" s="99">
        <v>28.187273921200799</v>
      </c>
      <c r="NM53" s="99">
        <v>28.244845215759899</v>
      </c>
      <c r="NN53" s="99">
        <v>28.302416510318999</v>
      </c>
      <c r="NO53" s="99">
        <v>28.359987804878099</v>
      </c>
      <c r="NP53" s="99">
        <v>28.417559099437199</v>
      </c>
      <c r="NQ53" s="99">
        <v>28.475130393996299</v>
      </c>
      <c r="NR53" s="99">
        <v>28.532701688555399</v>
      </c>
      <c r="NS53" s="99">
        <v>28.590272983114499</v>
      </c>
      <c r="NT53" s="99">
        <v>28.647844277673599</v>
      </c>
      <c r="NU53" s="99">
        <v>28.705415572232699</v>
      </c>
      <c r="NV53" s="99">
        <v>28.762986866791799</v>
      </c>
      <c r="NW53" s="99">
        <v>28.820558161350899</v>
      </c>
      <c r="NX53" s="99">
        <v>28.878129455909999</v>
      </c>
      <c r="NY53" s="99">
        <v>28.935700750469099</v>
      </c>
      <c r="NZ53" s="99">
        <v>28.993272045028199</v>
      </c>
      <c r="OA53" s="99">
        <v>29.050843339587299</v>
      </c>
      <c r="OB53" s="99">
        <v>29.108414634146399</v>
      </c>
      <c r="OC53" s="99">
        <v>29.165985928705499</v>
      </c>
      <c r="OD53" s="99">
        <v>29.223557223264599</v>
      </c>
      <c r="OE53" s="99">
        <v>29.281128517823699</v>
      </c>
      <c r="OF53" s="99">
        <v>29.338699812382799</v>
      </c>
      <c r="OG53" s="99">
        <v>29.396271106941899</v>
      </c>
      <c r="OH53" s="99">
        <v>29.453842401500999</v>
      </c>
      <c r="OI53" s="99">
        <v>29.511413696060099</v>
      </c>
      <c r="OJ53" s="99">
        <v>29.568984990619199</v>
      </c>
      <c r="OK53" s="99">
        <v>29.6265562851783</v>
      </c>
      <c r="OL53" s="99">
        <v>29.6841275797374</v>
      </c>
      <c r="OM53" s="99">
        <v>29.7416988742965</v>
      </c>
      <c r="ON53" s="99">
        <v>29.7992701688556</v>
      </c>
      <c r="OO53" s="99">
        <v>29.8568414634147</v>
      </c>
      <c r="OP53" s="99">
        <v>29.9144127579738</v>
      </c>
      <c r="OQ53" s="99">
        <v>29.9719840525329</v>
      </c>
      <c r="OR53" s="99">
        <v>30.029555347092</v>
      </c>
      <c r="OS53" s="99">
        <v>30.0871266416511</v>
      </c>
      <c r="OT53" s="99">
        <v>30.1446979362102</v>
      </c>
      <c r="OU53" s="99">
        <v>30.2022692307693</v>
      </c>
      <c r="OV53" s="99">
        <v>30.2598405253284</v>
      </c>
      <c r="OW53" s="99">
        <v>30.3174118198875</v>
      </c>
      <c r="OX53" s="99">
        <v>30.3749831144466</v>
      </c>
      <c r="OY53" s="99">
        <v>30.4325544090057</v>
      </c>
      <c r="OZ53" s="99">
        <v>30.4901257035648</v>
      </c>
      <c r="PA53" s="99">
        <v>30.5476969981239</v>
      </c>
      <c r="PB53" s="99">
        <v>30.605268292683</v>
      </c>
      <c r="PC53" s="99">
        <v>30.6628395872421</v>
      </c>
      <c r="PD53" s="99">
        <v>30.7204108818012</v>
      </c>
      <c r="PE53" s="99">
        <v>30.7779821763603</v>
      </c>
      <c r="PF53" s="99">
        <v>30.8355534709194</v>
      </c>
      <c r="PG53" s="99">
        <v>30.8931247654785</v>
      </c>
      <c r="PH53" s="99">
        <v>30.9506960600376</v>
      </c>
      <c r="PI53" s="99">
        <v>31.0082673545967</v>
      </c>
      <c r="PJ53" s="99">
        <v>31.065838649155801</v>
      </c>
      <c r="PK53" s="99">
        <v>31.123409943714901</v>
      </c>
      <c r="PL53" s="99">
        <v>31.180981238274001</v>
      </c>
      <c r="PM53" s="99">
        <v>31.238552532833101</v>
      </c>
      <c r="PN53" s="99">
        <v>31.296123827392201</v>
      </c>
      <c r="PO53" s="99">
        <v>31.353695121951301</v>
      </c>
      <c r="PP53" s="99">
        <v>31.411266416510401</v>
      </c>
      <c r="PQ53" s="99">
        <v>31.468837711069501</v>
      </c>
      <c r="PR53" s="99">
        <v>31.526409005628601</v>
      </c>
      <c r="PS53" s="99">
        <v>31.583980300187701</v>
      </c>
      <c r="PT53" s="99">
        <v>31.641551594746801</v>
      </c>
      <c r="PU53" s="99">
        <v>31.699122889305901</v>
      </c>
      <c r="PV53" s="99">
        <v>31.756694183865001</v>
      </c>
      <c r="PW53" s="99">
        <v>31.814265478424101</v>
      </c>
      <c r="PX53" s="99">
        <v>31.871836772983201</v>
      </c>
      <c r="PY53" s="99">
        <v>31.929408067542301</v>
      </c>
      <c r="PZ53" s="99">
        <v>31.986979362101302</v>
      </c>
      <c r="QA53" s="99">
        <v>32.044550656660398</v>
      </c>
      <c r="QB53" s="99">
        <v>32.102121951219502</v>
      </c>
      <c r="QC53" s="99">
        <v>32.159693245778598</v>
      </c>
      <c r="QD53" s="99">
        <v>32.217264540337702</v>
      </c>
      <c r="QE53" s="99">
        <v>32.274835834896798</v>
      </c>
      <c r="QF53" s="99">
        <v>32.332407129455902</v>
      </c>
      <c r="QG53" s="99">
        <v>32.389978424014998</v>
      </c>
      <c r="QH53" s="99">
        <v>32.447549718574102</v>
      </c>
      <c r="QI53" s="99">
        <v>32.505121013133198</v>
      </c>
      <c r="QJ53" s="99">
        <v>32.562692307692302</v>
      </c>
      <c r="QK53" s="99">
        <v>32.620263602251399</v>
      </c>
      <c r="QL53" s="99">
        <v>32.677834896810502</v>
      </c>
      <c r="QM53" s="99">
        <v>32.735406191369599</v>
      </c>
      <c r="QN53" s="99">
        <v>32.792977485928702</v>
      </c>
      <c r="QO53" s="99">
        <v>32.850548780487799</v>
      </c>
      <c r="QP53" s="99">
        <v>32.908120075046902</v>
      </c>
      <c r="QQ53" s="99">
        <v>32.965691369605999</v>
      </c>
      <c r="QR53" s="99">
        <v>33.023262664165102</v>
      </c>
      <c r="QS53" s="99">
        <v>33.080833958724199</v>
      </c>
      <c r="QT53" s="99">
        <v>33.138405253283302</v>
      </c>
      <c r="QU53" s="99">
        <v>33.195976547842399</v>
      </c>
      <c r="QV53" s="99">
        <v>33.253547842401503</v>
      </c>
      <c r="QW53" s="99">
        <v>33.311119136960599</v>
      </c>
      <c r="QX53" s="99">
        <v>33.368690431519703</v>
      </c>
      <c r="QY53" s="99">
        <v>33.426261726078799</v>
      </c>
      <c r="QZ53" s="99">
        <v>33.483833020637903</v>
      </c>
      <c r="RA53" s="99">
        <v>33.541404315196999</v>
      </c>
      <c r="RB53" s="99">
        <v>33.598975609756103</v>
      </c>
      <c r="RC53" s="99">
        <v>33.656546904315199</v>
      </c>
      <c r="RD53" s="99">
        <v>33.714118198874303</v>
      </c>
      <c r="RE53" s="99">
        <v>33.771689493433399</v>
      </c>
      <c r="RF53" s="99">
        <v>33.829260787992503</v>
      </c>
      <c r="RG53" s="99">
        <v>33.886832082551599</v>
      </c>
      <c r="RH53" s="99">
        <v>33.944403377110703</v>
      </c>
      <c r="RI53" s="99">
        <v>34.001974671669799</v>
      </c>
      <c r="RJ53" s="99">
        <v>34.059545966228903</v>
      </c>
      <c r="RK53" s="99">
        <v>34.117117260788</v>
      </c>
      <c r="RL53" s="99">
        <v>34.174688555347103</v>
      </c>
      <c r="RM53" s="99">
        <v>34.2322598499062</v>
      </c>
      <c r="RN53" s="99">
        <v>34.289831144465303</v>
      </c>
      <c r="RO53" s="99">
        <v>34.3474024390244</v>
      </c>
      <c r="RP53" s="99">
        <v>34.404973733583503</v>
      </c>
      <c r="RQ53" s="99">
        <v>34.4625450281426</v>
      </c>
      <c r="RR53" s="99">
        <v>34.520116322701703</v>
      </c>
      <c r="RS53" s="99">
        <v>34.5776876172608</v>
      </c>
      <c r="RT53" s="99">
        <v>34.635258911819903</v>
      </c>
      <c r="RU53" s="99">
        <v>34.692830206379</v>
      </c>
      <c r="RV53" s="99">
        <v>34.750401500938104</v>
      </c>
      <c r="RW53" s="99">
        <v>34.8079727954972</v>
      </c>
      <c r="RX53" s="99">
        <v>34.865544090056297</v>
      </c>
      <c r="RY53" s="99">
        <v>34.9231153846154</v>
      </c>
      <c r="RZ53" s="99">
        <v>34.980686679174497</v>
      </c>
      <c r="SA53" s="99">
        <v>35.0382579737336</v>
      </c>
      <c r="SB53" s="99">
        <v>35.095829268292697</v>
      </c>
      <c r="SC53" s="99">
        <v>35.1534005628518</v>
      </c>
      <c r="SD53" s="99">
        <v>35.210971857410897</v>
      </c>
      <c r="SE53" s="99">
        <v>35.26854315197</v>
      </c>
      <c r="SF53" s="99">
        <v>35.326114446529097</v>
      </c>
      <c r="SG53" s="99">
        <v>35.3836857410882</v>
      </c>
      <c r="SH53" s="99">
        <v>35.441257035647297</v>
      </c>
      <c r="SI53" s="99">
        <v>35.4988283302064</v>
      </c>
      <c r="SJ53" s="99">
        <v>35.556399624765497</v>
      </c>
      <c r="SK53" s="99">
        <v>35.613970919324601</v>
      </c>
      <c r="SL53" s="99">
        <v>35.671542213883697</v>
      </c>
      <c r="SM53" s="99">
        <v>35.729113508442801</v>
      </c>
      <c r="SN53" s="99">
        <v>35.786684803001897</v>
      </c>
      <c r="SO53" s="99">
        <v>35.844256097561001</v>
      </c>
      <c r="SP53" s="99">
        <v>35.901827392120097</v>
      </c>
      <c r="SQ53" s="99">
        <v>35.959398686679201</v>
      </c>
      <c r="SR53" s="99">
        <v>36.016969981238297</v>
      </c>
      <c r="SS53" s="99">
        <v>36.074541275797401</v>
      </c>
      <c r="ST53" s="99">
        <v>36.132112570356497</v>
      </c>
      <c r="SU53" s="99">
        <v>36.189683864915601</v>
      </c>
      <c r="SV53" s="99">
        <v>36.247255159474697</v>
      </c>
      <c r="SW53" s="99">
        <v>36.304826454033801</v>
      </c>
      <c r="SX53" s="99">
        <v>36.362397748592898</v>
      </c>
      <c r="SY53" s="99">
        <v>36.419969043152001</v>
      </c>
      <c r="SZ53" s="99">
        <v>36.477540337711098</v>
      </c>
      <c r="TA53" s="99">
        <v>36.535111632270201</v>
      </c>
      <c r="TB53" s="99">
        <v>36.592682926829298</v>
      </c>
      <c r="TC53" s="99">
        <v>36.650254221388401</v>
      </c>
      <c r="TD53" s="99">
        <v>36.707825515947498</v>
      </c>
      <c r="TE53" s="99">
        <v>36.765396810506601</v>
      </c>
      <c r="TF53" s="99">
        <v>36.822968105065698</v>
      </c>
      <c r="TG53" s="99">
        <v>36.880539399624801</v>
      </c>
      <c r="TH53" s="99">
        <v>36.938110694183898</v>
      </c>
      <c r="TI53" s="99">
        <v>36.995681988743002</v>
      </c>
      <c r="TJ53" s="99">
        <v>37.053253283302098</v>
      </c>
      <c r="TK53" s="99">
        <v>37.110824577861202</v>
      </c>
      <c r="TL53" s="99">
        <v>37.168395872420298</v>
      </c>
      <c r="TM53" s="99">
        <v>37.225967166979402</v>
      </c>
      <c r="TN53" s="99">
        <v>37.283538461538498</v>
      </c>
      <c r="TO53" s="99">
        <v>37.341109756097602</v>
      </c>
      <c r="TP53" s="99">
        <v>37.398681050656698</v>
      </c>
      <c r="TQ53" s="99">
        <v>37.456252345215802</v>
      </c>
      <c r="TR53" s="99">
        <v>37.513823639774898</v>
      </c>
      <c r="TS53" s="99">
        <v>37.571394934334002</v>
      </c>
      <c r="TT53" s="99">
        <v>37.628966228893098</v>
      </c>
      <c r="TU53" s="99">
        <v>37.686537523452202</v>
      </c>
      <c r="TV53" s="99">
        <v>37.744108818011298</v>
      </c>
      <c r="TW53" s="99">
        <v>37.801680112570402</v>
      </c>
      <c r="TX53" s="99">
        <v>37.859251407129499</v>
      </c>
      <c r="TY53" s="99">
        <v>37.916822701688602</v>
      </c>
      <c r="TZ53" s="99">
        <v>37.974393996247699</v>
      </c>
      <c r="UA53" s="99">
        <v>38.031965290806802</v>
      </c>
      <c r="UB53" s="99">
        <v>38.089536585365899</v>
      </c>
      <c r="UC53" s="99">
        <v>38.147107879925002</v>
      </c>
      <c r="UD53" s="99">
        <v>38.204679174484099</v>
      </c>
      <c r="UE53" s="99">
        <v>38.262250469043202</v>
      </c>
      <c r="UF53" s="99">
        <v>38.319821763602299</v>
      </c>
      <c r="UG53" s="99">
        <v>38.377393058161402</v>
      </c>
      <c r="UH53" s="99">
        <v>38.434964352720499</v>
      </c>
      <c r="UI53" s="99">
        <v>38.492535647279603</v>
      </c>
      <c r="UJ53" s="99">
        <v>38.550106941838699</v>
      </c>
      <c r="UK53" s="99">
        <v>38.607678236397803</v>
      </c>
      <c r="UL53" s="99">
        <v>38.665249530956899</v>
      </c>
      <c r="UM53" s="99">
        <v>38.722820825516003</v>
      </c>
      <c r="UN53" s="99">
        <v>38.780392120075099</v>
      </c>
      <c r="UO53" s="99">
        <v>38.837963414634203</v>
      </c>
      <c r="UP53" s="99">
        <v>38.895534709193299</v>
      </c>
      <c r="UQ53" s="99">
        <v>38.953106003752403</v>
      </c>
      <c r="UR53" s="99">
        <v>39.010677298311499</v>
      </c>
      <c r="US53" s="99">
        <v>39.068248592870603</v>
      </c>
      <c r="UT53" s="99">
        <v>39.125819887429699</v>
      </c>
    </row>
    <row r="54" spans="1:566" x14ac:dyDescent="0.2">
      <c r="A54" s="89">
        <v>24</v>
      </c>
      <c r="B54" s="90">
        <v>6.59</v>
      </c>
      <c r="C54" s="90">
        <v>6.65</v>
      </c>
      <c r="D54" s="90">
        <v>6.71</v>
      </c>
      <c r="E54" s="90">
        <v>6.76</v>
      </c>
      <c r="F54" s="90">
        <v>6.82</v>
      </c>
      <c r="G54" s="90">
        <v>6.88</v>
      </c>
      <c r="H54" s="90">
        <v>6.94</v>
      </c>
      <c r="I54" s="90">
        <v>6.99</v>
      </c>
      <c r="J54" s="90">
        <v>7.05</v>
      </c>
      <c r="K54" s="90">
        <v>7.11</v>
      </c>
      <c r="L54" s="90">
        <v>7.16</v>
      </c>
      <c r="M54" s="90">
        <v>7.22</v>
      </c>
      <c r="N54" s="90">
        <v>7.28</v>
      </c>
      <c r="O54" s="90">
        <v>7.33</v>
      </c>
      <c r="P54" s="90">
        <v>7.39</v>
      </c>
      <c r="Q54" s="90">
        <v>7.45</v>
      </c>
      <c r="R54" s="90">
        <v>7.51</v>
      </c>
      <c r="S54" s="90">
        <v>7.56</v>
      </c>
      <c r="T54" s="90">
        <v>7.62</v>
      </c>
      <c r="U54" s="91">
        <v>7.68</v>
      </c>
      <c r="V54" s="90">
        <v>7.73</v>
      </c>
      <c r="W54" s="90">
        <v>7.79</v>
      </c>
      <c r="X54" s="90">
        <v>7.85</v>
      </c>
      <c r="Y54" s="90">
        <v>7.9</v>
      </c>
      <c r="Z54" s="90">
        <v>7.96</v>
      </c>
      <c r="AA54" s="90">
        <v>8.02</v>
      </c>
      <c r="AB54" s="90">
        <v>8.08</v>
      </c>
      <c r="AC54" s="90">
        <v>8.1300000000000008</v>
      </c>
      <c r="AD54" s="90">
        <v>8.19</v>
      </c>
      <c r="AE54" s="90">
        <v>8.25</v>
      </c>
      <c r="AF54" s="90">
        <v>8.3000000000000007</v>
      </c>
      <c r="AG54" s="90">
        <v>8.36</v>
      </c>
      <c r="AH54" s="90">
        <v>8.42</v>
      </c>
      <c r="AI54" s="90">
        <v>8.48</v>
      </c>
      <c r="AJ54" s="90">
        <v>8.5299999999999994</v>
      </c>
      <c r="AK54" s="90">
        <v>8.59</v>
      </c>
      <c r="AL54" s="90">
        <v>8.65</v>
      </c>
      <c r="AM54" s="90">
        <v>8.6999999999999993</v>
      </c>
      <c r="AN54" s="90">
        <v>8.76</v>
      </c>
      <c r="AO54" s="91">
        <v>8.82</v>
      </c>
      <c r="AP54" s="90">
        <v>8.8748461538461498</v>
      </c>
      <c r="AQ54" s="90">
        <v>8.9318996247654798</v>
      </c>
      <c r="AR54" s="90">
        <v>8.9889530956847992</v>
      </c>
      <c r="AS54" s="90">
        <v>9.0460065666041292</v>
      </c>
      <c r="AT54" s="90">
        <v>9.1030600375234503</v>
      </c>
      <c r="AU54" s="90">
        <v>9.1601135084427803</v>
      </c>
      <c r="AV54" s="90">
        <v>9.2171669793620996</v>
      </c>
      <c r="AW54" s="90">
        <v>9.2742204502814296</v>
      </c>
      <c r="AX54" s="90">
        <v>9.3312739212007507</v>
      </c>
      <c r="AY54" s="90">
        <v>9.3883273921200701</v>
      </c>
      <c r="AZ54" s="90">
        <v>9.4453808630394001</v>
      </c>
      <c r="BA54" s="90">
        <v>9.5024343339587194</v>
      </c>
      <c r="BB54" s="90">
        <v>9.5594878048780494</v>
      </c>
      <c r="BC54" s="90">
        <v>9.6165412757973705</v>
      </c>
      <c r="BD54" s="90">
        <v>9.6735947467167005</v>
      </c>
      <c r="BE54" s="90">
        <v>9.7306482176360198</v>
      </c>
      <c r="BF54" s="90">
        <v>9.7877016885553498</v>
      </c>
      <c r="BG54" s="90">
        <v>9.8447551594746692</v>
      </c>
      <c r="BH54" s="90">
        <v>9.9018086303939992</v>
      </c>
      <c r="BI54" s="91">
        <v>9.9588621013133203</v>
      </c>
      <c r="BJ54" s="90">
        <v>10.015915572232601</v>
      </c>
      <c r="BK54" s="99">
        <v>10.072969043152</v>
      </c>
      <c r="BL54" s="99">
        <v>10.1300225140713</v>
      </c>
      <c r="BM54" s="99">
        <v>10.187075984990599</v>
      </c>
      <c r="BN54" s="99">
        <v>10.244129455909899</v>
      </c>
      <c r="BO54" s="99">
        <v>10.3011829268293</v>
      </c>
      <c r="BP54" s="99">
        <v>10.3582363977486</v>
      </c>
      <c r="BQ54" s="99">
        <v>10.4152898686679</v>
      </c>
      <c r="BR54" s="99">
        <v>10.4723433395872</v>
      </c>
      <c r="BS54" s="99">
        <v>10.529396810506601</v>
      </c>
      <c r="BT54" s="99">
        <v>10.5864502814259</v>
      </c>
      <c r="BU54" s="99">
        <v>10.6435037523452</v>
      </c>
      <c r="BV54" s="99">
        <v>10.7005572232645</v>
      </c>
      <c r="BW54" s="99">
        <v>10.757610694183899</v>
      </c>
      <c r="BX54" s="99">
        <v>10.814664165103199</v>
      </c>
      <c r="BY54" s="99">
        <v>10.871717636022501</v>
      </c>
      <c r="BZ54" s="99">
        <v>10.928771106941801</v>
      </c>
      <c r="CA54" s="99">
        <v>10.9858245778612</v>
      </c>
      <c r="CB54" s="99">
        <v>11.0428780487805</v>
      </c>
      <c r="CC54" s="99">
        <v>11.099931519699799</v>
      </c>
      <c r="CD54" s="99">
        <v>11.156984990619099</v>
      </c>
      <c r="CE54" s="99">
        <v>11.2140384615385</v>
      </c>
      <c r="CF54" s="99">
        <v>11.2710919324578</v>
      </c>
      <c r="CG54" s="99">
        <v>11.3281454033771</v>
      </c>
      <c r="CH54" s="99">
        <v>11.3851988742964</v>
      </c>
      <c r="CI54" s="99">
        <v>11.442252345215801</v>
      </c>
      <c r="CJ54" s="99">
        <v>11.4993058161351</v>
      </c>
      <c r="CK54" s="99">
        <v>11.5563592870544</v>
      </c>
      <c r="CL54" s="99">
        <v>11.6134127579737</v>
      </c>
      <c r="CM54" s="99">
        <v>11.670466228893099</v>
      </c>
      <c r="CN54" s="99">
        <v>11.727519699812399</v>
      </c>
      <c r="CO54" s="99">
        <v>11.784573170731701</v>
      </c>
      <c r="CP54" s="99">
        <v>11.841626641651001</v>
      </c>
      <c r="CQ54" s="99">
        <v>11.8986801125704</v>
      </c>
      <c r="CR54" s="99">
        <v>11.9557335834897</v>
      </c>
      <c r="CS54" s="99">
        <v>12.012787054408999</v>
      </c>
      <c r="CT54" s="99">
        <v>12.069840525328299</v>
      </c>
      <c r="CU54" s="99">
        <v>12.126893996247601</v>
      </c>
      <c r="CV54" s="99">
        <v>12.183947467167</v>
      </c>
      <c r="CW54" s="99">
        <v>12.2410009380863</v>
      </c>
      <c r="CX54" s="99">
        <v>12.2980544090056</v>
      </c>
      <c r="CY54" s="99">
        <v>12.355107879924899</v>
      </c>
      <c r="CZ54" s="99">
        <v>12.412161350844301</v>
      </c>
      <c r="DA54" s="99">
        <v>12.4692148217636</v>
      </c>
      <c r="DB54" s="99">
        <v>12.5262682926829</v>
      </c>
      <c r="DC54" s="99">
        <v>12.5833217636022</v>
      </c>
      <c r="DD54" s="99">
        <v>12.640375234521599</v>
      </c>
      <c r="DE54" s="99">
        <v>12.697428705440901</v>
      </c>
      <c r="DF54" s="99">
        <v>12.754482176360201</v>
      </c>
      <c r="DG54" s="99">
        <v>12.8115356472795</v>
      </c>
      <c r="DH54" s="99">
        <v>12.8685891181989</v>
      </c>
      <c r="DI54" s="99">
        <v>12.925642589118199</v>
      </c>
      <c r="DJ54" s="99">
        <v>12.982696060037499</v>
      </c>
      <c r="DK54" s="99">
        <v>13.039749530956801</v>
      </c>
      <c r="DL54" s="99">
        <v>13.0968030018762</v>
      </c>
      <c r="DM54" s="99">
        <v>13.1538564727955</v>
      </c>
      <c r="DN54" s="99">
        <v>13.2109099437148</v>
      </c>
      <c r="DO54" s="99">
        <v>13.267963414634099</v>
      </c>
      <c r="DP54" s="99">
        <v>13.325016885553501</v>
      </c>
      <c r="DQ54" s="99">
        <v>13.3820703564728</v>
      </c>
      <c r="DR54" s="99">
        <v>13.4391238273921</v>
      </c>
      <c r="DS54" s="99">
        <v>13.4961772983114</v>
      </c>
      <c r="DT54" s="99">
        <v>13.553230769230799</v>
      </c>
      <c r="DU54" s="99">
        <v>13.610284240150101</v>
      </c>
      <c r="DV54" s="99">
        <v>13.667337711069401</v>
      </c>
      <c r="DW54" s="99">
        <v>13.7243911819887</v>
      </c>
      <c r="DX54" s="99">
        <v>13.7814446529081</v>
      </c>
      <c r="DY54" s="99">
        <v>13.838498123827399</v>
      </c>
      <c r="DZ54" s="99">
        <v>13.895551594746699</v>
      </c>
      <c r="EA54" s="99">
        <v>13.952605065666001</v>
      </c>
      <c r="EB54" s="99">
        <v>14.0096585365854</v>
      </c>
      <c r="EC54" s="99">
        <v>14.0667120075047</v>
      </c>
      <c r="ED54" s="99">
        <v>14.123765478424</v>
      </c>
      <c r="EE54" s="99">
        <v>14.180818949343299</v>
      </c>
      <c r="EF54" s="99">
        <v>14.237872420262701</v>
      </c>
      <c r="EG54" s="99">
        <v>14.294925891182</v>
      </c>
      <c r="EH54" s="99">
        <v>14.3519793621013</v>
      </c>
      <c r="EI54" s="99">
        <v>14.4090328330206</v>
      </c>
      <c r="EJ54" s="99">
        <v>14.466086303939999</v>
      </c>
      <c r="EK54" s="99">
        <v>14.523139774859301</v>
      </c>
      <c r="EL54" s="99">
        <v>14.580193245778601</v>
      </c>
      <c r="EM54" s="99">
        <v>14.6372467166979</v>
      </c>
      <c r="EN54" s="99">
        <v>14.6943001876173</v>
      </c>
      <c r="EO54" s="99">
        <v>14.751353658536599</v>
      </c>
      <c r="EP54" s="99">
        <v>14.808407129455899</v>
      </c>
      <c r="EQ54" s="99">
        <v>14.865460600375201</v>
      </c>
      <c r="ER54" s="99">
        <v>14.9225140712946</v>
      </c>
      <c r="ES54" s="99">
        <v>14.9795675422139</v>
      </c>
      <c r="ET54" s="99">
        <v>15.0366210131332</v>
      </c>
      <c r="EU54" s="99">
        <v>15.093674484052499</v>
      </c>
      <c r="EV54" s="99">
        <v>15.150727954971901</v>
      </c>
      <c r="EW54" s="99">
        <v>15.2077814258912</v>
      </c>
      <c r="EX54" s="99">
        <v>15.2648348968105</v>
      </c>
      <c r="EY54" s="99">
        <v>15.3218883677298</v>
      </c>
      <c r="EZ54" s="99">
        <v>15.378941838649199</v>
      </c>
      <c r="FA54" s="99">
        <v>15.435995309568501</v>
      </c>
      <c r="FB54" s="99">
        <v>15.493048780487801</v>
      </c>
      <c r="FC54" s="99">
        <v>15.5501022514071</v>
      </c>
      <c r="FD54" s="99">
        <v>15.6071557223264</v>
      </c>
      <c r="FE54" s="99">
        <v>15.664209193245799</v>
      </c>
      <c r="FF54" s="99">
        <v>15.721262664165099</v>
      </c>
      <c r="FG54" s="99">
        <v>15.778316135084401</v>
      </c>
      <c r="FH54" s="99">
        <v>15.835369606003701</v>
      </c>
      <c r="FI54" s="99">
        <v>15.8924230769231</v>
      </c>
      <c r="FJ54" s="99">
        <v>15.9494765478424</v>
      </c>
      <c r="FK54" s="99">
        <v>16.006530018761701</v>
      </c>
      <c r="FL54" s="99">
        <v>16.063583489681101</v>
      </c>
      <c r="FM54" s="99">
        <v>16.1206369606004</v>
      </c>
      <c r="FN54" s="99">
        <v>16.1776904315197</v>
      </c>
      <c r="FO54" s="99">
        <v>16.234743902439</v>
      </c>
      <c r="FP54" s="99">
        <v>16.2917973733583</v>
      </c>
      <c r="FQ54" s="99">
        <v>16.348850844277699</v>
      </c>
      <c r="FR54" s="99">
        <v>16.405904315196999</v>
      </c>
      <c r="FS54" s="99">
        <v>16.462957786116299</v>
      </c>
      <c r="FT54" s="99">
        <v>16.520011257035598</v>
      </c>
      <c r="FU54" s="99">
        <v>16.577064727955001</v>
      </c>
      <c r="FV54" s="99">
        <v>16.634118198874301</v>
      </c>
      <c r="FW54" s="99">
        <v>16.6911716697937</v>
      </c>
      <c r="FX54" s="99">
        <v>16.748225140713</v>
      </c>
      <c r="FY54" s="99">
        <v>16.8052786116323</v>
      </c>
      <c r="FZ54" s="99">
        <v>16.8623320825516</v>
      </c>
      <c r="GA54" s="99">
        <v>16.919385553470999</v>
      </c>
      <c r="GB54" s="99">
        <v>16.976439024390299</v>
      </c>
      <c r="GC54" s="99">
        <v>17.033492495309599</v>
      </c>
      <c r="GD54" s="99">
        <v>17.090545966228898</v>
      </c>
      <c r="GE54" s="99">
        <v>17.147599437148202</v>
      </c>
      <c r="GF54" s="99">
        <v>17.204652908067601</v>
      </c>
      <c r="GG54" s="99">
        <v>17.261706378986901</v>
      </c>
      <c r="GH54" s="99">
        <v>17.318759849906201</v>
      </c>
      <c r="GI54" s="99">
        <v>17.3758133208255</v>
      </c>
      <c r="GJ54" s="99">
        <v>17.4328667917449</v>
      </c>
      <c r="GK54" s="99">
        <v>17.489920262664199</v>
      </c>
      <c r="GL54" s="99">
        <v>17.546973733583499</v>
      </c>
      <c r="GM54" s="99">
        <v>17.604027204502799</v>
      </c>
      <c r="GN54" s="99">
        <v>17.661080675422198</v>
      </c>
      <c r="GO54" s="99">
        <v>17.718134146341502</v>
      </c>
      <c r="GP54" s="99">
        <v>17.775187617260801</v>
      </c>
      <c r="GQ54" s="99">
        <v>17.832241088180101</v>
      </c>
      <c r="GR54" s="99">
        <v>17.889294559099501</v>
      </c>
      <c r="GS54" s="99">
        <v>17.9463480300188</v>
      </c>
      <c r="GT54" s="99">
        <v>18.0034015009381</v>
      </c>
      <c r="GU54" s="99">
        <v>18.0604549718574</v>
      </c>
      <c r="GV54" s="99">
        <v>18.117508442776799</v>
      </c>
      <c r="GW54" s="99">
        <v>18.174561913696099</v>
      </c>
      <c r="GX54" s="99">
        <v>18.231615384615399</v>
      </c>
      <c r="GY54" s="99">
        <v>18.288668855534699</v>
      </c>
      <c r="GZ54" s="99">
        <v>18.345722326454101</v>
      </c>
      <c r="HA54" s="99">
        <v>18.402775797373401</v>
      </c>
      <c r="HB54" s="99">
        <v>18.459829268292701</v>
      </c>
      <c r="HC54" s="99">
        <v>18.516882739212001</v>
      </c>
      <c r="HD54" s="99">
        <v>18.5739362101314</v>
      </c>
      <c r="HE54" s="99">
        <v>18.6309896810507</v>
      </c>
      <c r="HF54" s="99">
        <v>18.68804315197</v>
      </c>
      <c r="HG54" s="99">
        <v>18.745096622889299</v>
      </c>
      <c r="HH54" s="99">
        <v>18.802150093808699</v>
      </c>
      <c r="HI54" s="99">
        <v>18.859203564727999</v>
      </c>
      <c r="HJ54" s="99">
        <v>18.916257035647298</v>
      </c>
      <c r="HK54" s="99">
        <v>18.973310506566602</v>
      </c>
      <c r="HL54" s="99">
        <v>19.030363977486001</v>
      </c>
      <c r="HM54" s="99">
        <v>19.087417448405301</v>
      </c>
      <c r="HN54" s="99">
        <v>19.144470919324601</v>
      </c>
      <c r="HO54" s="99">
        <v>19.2015243902439</v>
      </c>
      <c r="HP54" s="99">
        <v>19.2585778611633</v>
      </c>
      <c r="HQ54" s="99">
        <v>19.315631332082599</v>
      </c>
      <c r="HR54" s="99">
        <v>19.372684803001899</v>
      </c>
      <c r="HS54" s="99">
        <v>19.429738273921199</v>
      </c>
      <c r="HT54" s="99">
        <v>19.486791744840598</v>
      </c>
      <c r="HU54" s="99">
        <v>19.543845215759902</v>
      </c>
      <c r="HV54" s="99">
        <v>19.600898686679201</v>
      </c>
      <c r="HW54" s="99">
        <v>19.657952157598501</v>
      </c>
      <c r="HX54" s="99">
        <v>19.715005628517901</v>
      </c>
      <c r="HY54" s="99">
        <v>19.7720590994372</v>
      </c>
      <c r="HZ54" s="99">
        <v>19.8291125703565</v>
      </c>
      <c r="IA54" s="99">
        <v>19.8861660412758</v>
      </c>
      <c r="IB54" s="99">
        <v>19.943219512195199</v>
      </c>
      <c r="IC54" s="99">
        <v>20.000272983114499</v>
      </c>
      <c r="ID54" s="99">
        <v>20.057326454033799</v>
      </c>
      <c r="IE54" s="99">
        <v>20.114379924953099</v>
      </c>
      <c r="IF54" s="99">
        <v>20.171433395872501</v>
      </c>
      <c r="IG54" s="99">
        <v>20.228486866791801</v>
      </c>
      <c r="IH54" s="99">
        <v>20.285540337711101</v>
      </c>
      <c r="II54" s="99">
        <v>20.342593808630401</v>
      </c>
      <c r="IJ54" s="99">
        <v>20.399647279549701</v>
      </c>
      <c r="IK54" s="99">
        <v>20.4567007504691</v>
      </c>
      <c r="IL54" s="99">
        <v>20.5137542213884</v>
      </c>
      <c r="IM54" s="99">
        <v>20.570807692307699</v>
      </c>
      <c r="IN54" s="99">
        <v>20.627861163226999</v>
      </c>
      <c r="IO54" s="99">
        <v>20.684914634146399</v>
      </c>
      <c r="IP54" s="99">
        <v>20.741968105065698</v>
      </c>
      <c r="IQ54" s="99">
        <v>20.799021575985002</v>
      </c>
      <c r="IR54" s="99">
        <v>20.856075046904301</v>
      </c>
      <c r="IS54" s="99">
        <v>20.913128517823701</v>
      </c>
      <c r="IT54" s="99">
        <v>20.970181988743001</v>
      </c>
      <c r="IU54" s="99">
        <v>21.0272354596623</v>
      </c>
      <c r="IV54" s="99">
        <v>21.0842889305816</v>
      </c>
      <c r="IW54" s="99">
        <v>21.141342401500999</v>
      </c>
      <c r="IX54" s="99">
        <v>21.198395872420299</v>
      </c>
      <c r="IY54" s="99">
        <v>21.255449343339599</v>
      </c>
      <c r="IZ54" s="99">
        <v>21.312502814258899</v>
      </c>
      <c r="JA54" s="99">
        <v>21.369556285178302</v>
      </c>
      <c r="JB54" s="99">
        <v>21.426609756097601</v>
      </c>
      <c r="JC54" s="99">
        <v>21.483663227016901</v>
      </c>
      <c r="JD54" s="99">
        <v>21.540716697936201</v>
      </c>
      <c r="JE54" s="99">
        <v>21.5977701688556</v>
      </c>
      <c r="JF54" s="99">
        <v>21.6548236397749</v>
      </c>
      <c r="JG54" s="99">
        <v>21.7118771106942</v>
      </c>
      <c r="JH54" s="99">
        <v>21.7689305816135</v>
      </c>
      <c r="JI54" s="99">
        <v>21.825984052532899</v>
      </c>
      <c r="JJ54" s="99">
        <v>21.883037523452199</v>
      </c>
      <c r="JK54" s="99">
        <v>21.940090994371499</v>
      </c>
      <c r="JL54" s="99">
        <v>21.997144465290798</v>
      </c>
      <c r="JM54" s="99">
        <v>22.054197936210201</v>
      </c>
      <c r="JN54" s="99">
        <v>22.111251407129501</v>
      </c>
      <c r="JO54" s="99">
        <v>22.168304878048801</v>
      </c>
      <c r="JP54" s="99">
        <v>22.225358348968101</v>
      </c>
      <c r="JQ54" s="99">
        <v>22.2824118198875</v>
      </c>
      <c r="JR54" s="99">
        <v>22.3394652908068</v>
      </c>
      <c r="JS54" s="99">
        <v>22.396518761726099</v>
      </c>
      <c r="JT54" s="99">
        <v>22.453572232645399</v>
      </c>
      <c r="JU54" s="99">
        <v>22.510625703564799</v>
      </c>
      <c r="JV54" s="99">
        <v>22.567679174484098</v>
      </c>
      <c r="JW54" s="99">
        <v>22.624732645403402</v>
      </c>
      <c r="JX54" s="99">
        <v>22.681786116322701</v>
      </c>
      <c r="JY54" s="99">
        <v>22.738839587242101</v>
      </c>
      <c r="JZ54" s="99">
        <v>22.795893058161401</v>
      </c>
      <c r="KA54" s="99">
        <v>22.8529465290807</v>
      </c>
      <c r="KB54" s="99">
        <v>22.91</v>
      </c>
      <c r="KC54" s="99">
        <v>22.967053470919399</v>
      </c>
      <c r="KD54" s="99">
        <v>23.024106941838699</v>
      </c>
      <c r="KE54" s="99">
        <v>23.081160412757999</v>
      </c>
      <c r="KF54" s="99">
        <v>23.138213883677299</v>
      </c>
      <c r="KG54" s="99">
        <v>23.195267354596702</v>
      </c>
      <c r="KH54" s="99">
        <v>23.252320825516001</v>
      </c>
      <c r="KI54" s="99">
        <v>23.309374296435301</v>
      </c>
      <c r="KJ54" s="99">
        <v>23.366427767354601</v>
      </c>
      <c r="KK54" s="99">
        <v>23.423481238274</v>
      </c>
      <c r="KL54" s="99">
        <v>23.4805347091933</v>
      </c>
      <c r="KM54" s="99">
        <v>23.5375881801126</v>
      </c>
      <c r="KN54" s="99">
        <v>23.5946416510319</v>
      </c>
      <c r="KO54" s="99">
        <v>23.651695121951299</v>
      </c>
      <c r="KP54" s="99">
        <v>23.708748592870599</v>
      </c>
      <c r="KQ54" s="99">
        <v>23.765802063789899</v>
      </c>
      <c r="KR54" s="99">
        <v>23.822855534709198</v>
      </c>
      <c r="KS54" s="99">
        <v>23.879909005628502</v>
      </c>
      <c r="KT54" s="99">
        <v>23.936962476547901</v>
      </c>
      <c r="KU54" s="99">
        <v>23.994015947467201</v>
      </c>
      <c r="KV54" s="99">
        <v>24.051069418386501</v>
      </c>
      <c r="KW54" s="99">
        <v>24.1081228893058</v>
      </c>
      <c r="KX54" s="99">
        <v>24.1651763602252</v>
      </c>
      <c r="KY54" s="99">
        <v>24.222229831144499</v>
      </c>
      <c r="KZ54" s="99">
        <v>24.279283302063799</v>
      </c>
      <c r="LA54" s="99">
        <v>24.336336772983099</v>
      </c>
      <c r="LB54" s="99">
        <v>24.393390243902498</v>
      </c>
      <c r="LC54" s="99">
        <v>24.450443714821802</v>
      </c>
      <c r="LD54" s="99">
        <v>24.507497185741101</v>
      </c>
      <c r="LE54" s="99">
        <v>24.564550656660401</v>
      </c>
      <c r="LF54" s="99">
        <v>24.621604127579801</v>
      </c>
      <c r="LG54" s="99">
        <v>24.6786575984991</v>
      </c>
      <c r="LH54" s="99">
        <v>24.7357110694184</v>
      </c>
      <c r="LI54" s="99">
        <v>24.7927645403377</v>
      </c>
      <c r="LJ54" s="99">
        <v>24.849818011257099</v>
      </c>
      <c r="LK54" s="99">
        <v>24.906871482176399</v>
      </c>
      <c r="LL54" s="99">
        <v>24.963924953095699</v>
      </c>
      <c r="LM54" s="99">
        <v>25.020978424014999</v>
      </c>
      <c r="LN54" s="99">
        <v>25.078031894934401</v>
      </c>
      <c r="LO54" s="99">
        <v>25.135085365853701</v>
      </c>
      <c r="LP54" s="99">
        <v>25.192138836773001</v>
      </c>
      <c r="LQ54" s="99">
        <v>25.249192307692301</v>
      </c>
      <c r="LR54" s="99">
        <v>25.3062457786117</v>
      </c>
      <c r="LS54" s="99">
        <v>25.363299249531</v>
      </c>
      <c r="LT54" s="99">
        <v>25.4203527204503</v>
      </c>
      <c r="LU54" s="99">
        <v>25.477406191369599</v>
      </c>
      <c r="LV54" s="99">
        <v>25.534459662288999</v>
      </c>
      <c r="LW54" s="99">
        <v>25.591513133208299</v>
      </c>
      <c r="LX54" s="99">
        <v>25.648566604127598</v>
      </c>
      <c r="LY54" s="99">
        <v>25.705620075046902</v>
      </c>
      <c r="LZ54" s="99">
        <v>25.762673545966301</v>
      </c>
      <c r="MA54" s="99">
        <v>25.819727016885601</v>
      </c>
      <c r="MB54" s="99">
        <v>25.876780487804901</v>
      </c>
      <c r="MC54" s="99">
        <v>25.9338339587242</v>
      </c>
      <c r="MD54" s="99">
        <v>25.9908874296436</v>
      </c>
      <c r="ME54" s="99">
        <v>26.047940900562899</v>
      </c>
      <c r="MF54" s="99">
        <v>26.104994371482199</v>
      </c>
      <c r="MG54" s="99">
        <v>26.162047842401499</v>
      </c>
      <c r="MH54" s="99">
        <v>26.219101313320898</v>
      </c>
      <c r="MI54" s="99">
        <v>26.276154784240202</v>
      </c>
      <c r="MJ54" s="99">
        <v>26.333208255159501</v>
      </c>
      <c r="MK54" s="99">
        <v>26.390261726078801</v>
      </c>
      <c r="ML54" s="99">
        <v>26.447315196998201</v>
      </c>
      <c r="MM54" s="99">
        <v>26.5043686679175</v>
      </c>
      <c r="MN54" s="99">
        <v>26.5614221388368</v>
      </c>
      <c r="MO54" s="99">
        <v>26.6184756097561</v>
      </c>
      <c r="MP54" s="99">
        <v>26.675529080675499</v>
      </c>
      <c r="MQ54" s="99">
        <v>26.732582551594799</v>
      </c>
      <c r="MR54" s="99">
        <v>26.789636022514099</v>
      </c>
      <c r="MS54" s="99">
        <v>26.846689493433399</v>
      </c>
      <c r="MT54" s="99">
        <v>26.903742964352801</v>
      </c>
      <c r="MU54" s="99">
        <v>26.960796435272101</v>
      </c>
      <c r="MV54" s="99">
        <v>27.017849906191401</v>
      </c>
      <c r="MW54" s="99">
        <v>27.074903377110701</v>
      </c>
      <c r="MX54" s="99">
        <v>27.1319568480301</v>
      </c>
      <c r="MY54" s="99">
        <v>27.1890103189494</v>
      </c>
      <c r="MZ54" s="99">
        <v>27.2460637898687</v>
      </c>
      <c r="NA54" s="99">
        <v>27.303117260787999</v>
      </c>
      <c r="NB54" s="99">
        <v>27.360170731707299</v>
      </c>
      <c r="NC54" s="99">
        <v>27.417224202626699</v>
      </c>
      <c r="ND54" s="99">
        <v>27.474277673545998</v>
      </c>
      <c r="NE54" s="99">
        <v>27.531331144465302</v>
      </c>
      <c r="NF54" s="99">
        <v>27.588384615384602</v>
      </c>
      <c r="NG54" s="99">
        <v>27.645438086304001</v>
      </c>
      <c r="NH54" s="99">
        <v>27.702491557223301</v>
      </c>
      <c r="NI54" s="99">
        <v>27.7595450281426</v>
      </c>
      <c r="NJ54" s="99">
        <v>27.8165984990619</v>
      </c>
      <c r="NK54" s="99">
        <v>27.873651969981299</v>
      </c>
      <c r="NL54" s="99">
        <v>27.930705440900599</v>
      </c>
      <c r="NM54" s="99">
        <v>27.987758911819899</v>
      </c>
      <c r="NN54" s="99">
        <v>28.044812382739199</v>
      </c>
      <c r="NO54" s="99">
        <v>28.101865853658602</v>
      </c>
      <c r="NP54" s="99">
        <v>28.158919324577901</v>
      </c>
      <c r="NQ54" s="99">
        <v>28.215972795497201</v>
      </c>
      <c r="NR54" s="99">
        <v>28.273026266416501</v>
      </c>
      <c r="NS54" s="99">
        <v>28.3300797373359</v>
      </c>
      <c r="NT54" s="99">
        <v>28.3871332082552</v>
      </c>
      <c r="NU54" s="99">
        <v>28.4441866791745</v>
      </c>
      <c r="NV54" s="99">
        <v>28.5012401500938</v>
      </c>
      <c r="NW54" s="99">
        <v>28.558293621013199</v>
      </c>
      <c r="NX54" s="99">
        <v>28.615347091932499</v>
      </c>
      <c r="NY54" s="99">
        <v>28.672400562851799</v>
      </c>
      <c r="NZ54" s="99">
        <v>28.729454033771098</v>
      </c>
      <c r="OA54" s="99">
        <v>28.786507504690501</v>
      </c>
      <c r="OB54" s="99">
        <v>28.843560975609801</v>
      </c>
      <c r="OC54" s="99">
        <v>28.900614446529101</v>
      </c>
      <c r="OD54" s="99">
        <v>28.957667917448401</v>
      </c>
      <c r="OE54" s="99">
        <v>29.0147213883678</v>
      </c>
      <c r="OF54" s="99">
        <v>29.0717748592871</v>
      </c>
      <c r="OG54" s="99">
        <v>29.128828330206399</v>
      </c>
      <c r="OH54" s="99">
        <v>29.185881801125699</v>
      </c>
      <c r="OI54" s="99">
        <v>29.242935272045099</v>
      </c>
      <c r="OJ54" s="99">
        <v>29.299988742964398</v>
      </c>
      <c r="OK54" s="99">
        <v>29.357042213883702</v>
      </c>
      <c r="OL54" s="99">
        <v>29.414095684803002</v>
      </c>
      <c r="OM54" s="99">
        <v>29.471149155722401</v>
      </c>
      <c r="ON54" s="99">
        <v>29.528202626641701</v>
      </c>
      <c r="OO54" s="99">
        <v>29.585256097561</v>
      </c>
      <c r="OP54" s="99">
        <v>29.6423095684803</v>
      </c>
      <c r="OQ54" s="99">
        <v>29.699363039399699</v>
      </c>
      <c r="OR54" s="99">
        <v>29.756416510318999</v>
      </c>
      <c r="OS54" s="99">
        <v>29.813469981238299</v>
      </c>
      <c r="OT54" s="99">
        <v>29.870523452157599</v>
      </c>
      <c r="OU54" s="99">
        <v>29.927576923077002</v>
      </c>
      <c r="OV54" s="99">
        <v>29.984630393996301</v>
      </c>
      <c r="OW54" s="99">
        <v>30.041683864915601</v>
      </c>
      <c r="OX54" s="99">
        <v>30.098737335834901</v>
      </c>
      <c r="OY54" s="99">
        <v>30.1557908067543</v>
      </c>
      <c r="OZ54" s="99">
        <v>30.2128442776736</v>
      </c>
      <c r="PA54" s="99">
        <v>30.2698977485929</v>
      </c>
      <c r="PB54" s="99">
        <v>30.3269512195122</v>
      </c>
      <c r="PC54" s="99">
        <v>30.384004690431599</v>
      </c>
      <c r="PD54" s="99">
        <v>30.441058161350899</v>
      </c>
      <c r="PE54" s="99">
        <v>30.498111632270199</v>
      </c>
      <c r="PF54" s="99">
        <v>30.555165103189498</v>
      </c>
      <c r="PG54" s="99">
        <v>30.612218574108802</v>
      </c>
      <c r="PH54" s="99">
        <v>30.669272045028201</v>
      </c>
      <c r="PI54" s="99">
        <v>30.726325515947501</v>
      </c>
      <c r="PJ54" s="99">
        <v>30.783378986866801</v>
      </c>
      <c r="PK54" s="99">
        <v>30.8404324577861</v>
      </c>
      <c r="PL54" s="99">
        <v>30.8974859287055</v>
      </c>
      <c r="PM54" s="99">
        <v>30.9545393996248</v>
      </c>
      <c r="PN54" s="99">
        <v>31.011592870544099</v>
      </c>
      <c r="PO54" s="99">
        <v>31.068646341463399</v>
      </c>
      <c r="PP54" s="99">
        <v>31.125699812382798</v>
      </c>
      <c r="PQ54" s="99">
        <v>31.182753283302102</v>
      </c>
      <c r="PR54" s="99">
        <v>31.239806754221402</v>
      </c>
      <c r="PS54" s="99">
        <v>31.296860225140701</v>
      </c>
      <c r="PT54" s="99">
        <v>31.353913696060101</v>
      </c>
      <c r="PU54" s="99">
        <v>31.4109671669794</v>
      </c>
      <c r="PV54" s="99">
        <v>31.4680206378987</v>
      </c>
      <c r="PW54" s="99">
        <v>31.525074108818</v>
      </c>
      <c r="PX54" s="99">
        <v>31.582127579737399</v>
      </c>
      <c r="PY54" s="99">
        <v>31.639181050656699</v>
      </c>
      <c r="PZ54" s="99">
        <v>31.696234521575999</v>
      </c>
      <c r="QA54" s="99">
        <v>31.753287992495299</v>
      </c>
      <c r="QB54" s="99">
        <v>31.810341463414701</v>
      </c>
      <c r="QC54" s="99">
        <v>31.867394934334001</v>
      </c>
      <c r="QD54" s="99">
        <v>31.924448405253301</v>
      </c>
      <c r="QE54" s="99">
        <v>31.981501876172601</v>
      </c>
      <c r="QF54" s="99">
        <v>32.038555347092</v>
      </c>
      <c r="QG54" s="99">
        <v>32.0956088180113</v>
      </c>
      <c r="QH54" s="99">
        <v>32.1526622889306</v>
      </c>
      <c r="QI54" s="99">
        <v>32.2097157598499</v>
      </c>
      <c r="QJ54" s="99">
        <v>32.266769230769299</v>
      </c>
      <c r="QK54" s="99">
        <v>32.323822701688599</v>
      </c>
      <c r="QL54" s="99">
        <v>32.380876172607898</v>
      </c>
      <c r="QM54" s="99">
        <v>32.437929643527198</v>
      </c>
      <c r="QN54" s="99">
        <v>32.494983114446597</v>
      </c>
      <c r="QO54" s="99">
        <v>32.552036585365897</v>
      </c>
      <c r="QP54" s="99">
        <v>32.609090056285197</v>
      </c>
      <c r="QQ54" s="99">
        <v>32.666143527204497</v>
      </c>
      <c r="QR54" s="99">
        <v>32.723196998123903</v>
      </c>
      <c r="QS54" s="99">
        <v>32.780250469043203</v>
      </c>
      <c r="QT54" s="99">
        <v>32.837303939962503</v>
      </c>
      <c r="QU54" s="99">
        <v>32.894357410881803</v>
      </c>
      <c r="QV54" s="99">
        <v>32.951410881801202</v>
      </c>
      <c r="QW54" s="99">
        <v>33.008464352720502</v>
      </c>
      <c r="QX54" s="99">
        <v>33.065517823639802</v>
      </c>
      <c r="QY54" s="99">
        <v>33.122571294559101</v>
      </c>
      <c r="QZ54" s="99">
        <v>33.179624765478501</v>
      </c>
      <c r="RA54" s="99">
        <v>33.2366782363978</v>
      </c>
      <c r="RB54" s="99">
        <v>33.2937317073171</v>
      </c>
      <c r="RC54" s="99">
        <v>33.3507851782364</v>
      </c>
      <c r="RD54" s="99">
        <v>33.407838649155799</v>
      </c>
      <c r="RE54" s="99">
        <v>33.464892120075099</v>
      </c>
      <c r="RF54" s="99">
        <v>33.521945590994399</v>
      </c>
      <c r="RG54" s="99">
        <v>33.578999061913699</v>
      </c>
      <c r="RH54" s="99">
        <v>33.636052532833098</v>
      </c>
      <c r="RI54" s="99">
        <v>33.693106003752398</v>
      </c>
      <c r="RJ54" s="99">
        <v>33.750159474671698</v>
      </c>
      <c r="RK54" s="99">
        <v>33.807212945590997</v>
      </c>
      <c r="RL54" s="99">
        <v>33.864266416510397</v>
      </c>
      <c r="RM54" s="99">
        <v>33.921319887429703</v>
      </c>
      <c r="RN54" s="99">
        <v>33.978373358349003</v>
      </c>
      <c r="RO54" s="99">
        <v>34.035426829268303</v>
      </c>
      <c r="RP54" s="99">
        <v>34.092480300187702</v>
      </c>
      <c r="RQ54" s="99">
        <v>34.149533771107002</v>
      </c>
      <c r="RR54" s="99">
        <v>34.206587242026302</v>
      </c>
      <c r="RS54" s="99">
        <v>34.263640712945602</v>
      </c>
      <c r="RT54" s="99">
        <v>34.320694183864902</v>
      </c>
      <c r="RU54" s="99">
        <v>34.377747654784301</v>
      </c>
      <c r="RV54" s="99">
        <v>34.434801125703601</v>
      </c>
      <c r="RW54" s="99">
        <v>34.4918545966229</v>
      </c>
      <c r="RX54" s="99">
        <v>34.5489080675422</v>
      </c>
      <c r="RY54" s="99">
        <v>34.6059615384616</v>
      </c>
      <c r="RZ54" s="99">
        <v>34.663015009380899</v>
      </c>
      <c r="SA54" s="99">
        <v>34.720068480300199</v>
      </c>
      <c r="SB54" s="99">
        <v>34.777121951219499</v>
      </c>
      <c r="SC54" s="99">
        <v>34.834175422138898</v>
      </c>
      <c r="SD54" s="99">
        <v>34.891228893058198</v>
      </c>
      <c r="SE54" s="99">
        <v>34.948282363977498</v>
      </c>
      <c r="SF54" s="99">
        <v>35.005335834896798</v>
      </c>
      <c r="SG54" s="99">
        <v>35.062389305816197</v>
      </c>
      <c r="SH54" s="99">
        <v>35.119442776735497</v>
      </c>
      <c r="SI54" s="99">
        <v>35.176496247654804</v>
      </c>
      <c r="SJ54" s="99">
        <v>35.233549718574103</v>
      </c>
      <c r="SK54" s="99">
        <v>35.290603189493503</v>
      </c>
      <c r="SL54" s="99">
        <v>35.347656660412802</v>
      </c>
      <c r="SM54" s="99">
        <v>35.404710131332102</v>
      </c>
      <c r="SN54" s="99">
        <v>35.461763602251402</v>
      </c>
      <c r="SO54" s="99">
        <v>35.518817073170801</v>
      </c>
      <c r="SP54" s="99">
        <v>35.575870544090101</v>
      </c>
      <c r="SQ54" s="99">
        <v>35.632924015009401</v>
      </c>
      <c r="SR54" s="99">
        <v>35.689977485928701</v>
      </c>
      <c r="SS54" s="99">
        <v>35.7470309568481</v>
      </c>
      <c r="ST54" s="99">
        <v>35.8040844277674</v>
      </c>
      <c r="SU54" s="99">
        <v>35.8611378986867</v>
      </c>
      <c r="SV54" s="99">
        <v>35.918191369605999</v>
      </c>
      <c r="SW54" s="99">
        <v>35.975244840525399</v>
      </c>
      <c r="SX54" s="99">
        <v>36.032298311444698</v>
      </c>
      <c r="SY54" s="99">
        <v>36.089351782363998</v>
      </c>
      <c r="SZ54" s="99">
        <v>36.146405253283298</v>
      </c>
      <c r="TA54" s="99">
        <v>36.203458724202697</v>
      </c>
      <c r="TB54" s="99">
        <v>36.260512195121997</v>
      </c>
      <c r="TC54" s="99">
        <v>36.317565666041297</v>
      </c>
      <c r="TD54" s="99">
        <v>36.374619136960597</v>
      </c>
      <c r="TE54" s="99">
        <v>36.431672607880003</v>
      </c>
      <c r="TF54" s="99">
        <v>36.488726078799303</v>
      </c>
      <c r="TG54" s="99">
        <v>36.545779549718603</v>
      </c>
      <c r="TH54" s="99">
        <v>36.602833020637902</v>
      </c>
      <c r="TI54" s="99">
        <v>36.659886491557302</v>
      </c>
      <c r="TJ54" s="99">
        <v>36.716939962476602</v>
      </c>
      <c r="TK54" s="99">
        <v>36.773993433395901</v>
      </c>
      <c r="TL54" s="99">
        <v>36.831046904315201</v>
      </c>
      <c r="TM54" s="99">
        <v>36.8881003752346</v>
      </c>
      <c r="TN54" s="99">
        <v>36.9451538461539</v>
      </c>
      <c r="TO54" s="99">
        <v>37.0022073170732</v>
      </c>
      <c r="TP54" s="99">
        <v>37.0592607879925</v>
      </c>
      <c r="TQ54" s="99">
        <v>37.116314258911899</v>
      </c>
      <c r="TR54" s="99">
        <v>37.173367729831199</v>
      </c>
      <c r="TS54" s="99">
        <v>37.230421200750499</v>
      </c>
      <c r="TT54" s="99">
        <v>37.287474671669798</v>
      </c>
      <c r="TU54" s="99">
        <v>37.344528142589098</v>
      </c>
      <c r="TV54" s="99">
        <v>37.401581613508498</v>
      </c>
      <c r="TW54" s="99">
        <v>37.458635084427797</v>
      </c>
      <c r="TX54" s="99">
        <v>37.515688555347097</v>
      </c>
      <c r="TY54" s="99">
        <v>37.572742026266397</v>
      </c>
      <c r="TZ54" s="99">
        <v>37.629795497185803</v>
      </c>
      <c r="UA54" s="99">
        <v>37.686848968105103</v>
      </c>
      <c r="UB54" s="99">
        <v>37.743902439024403</v>
      </c>
      <c r="UC54" s="99">
        <v>37.800955909943703</v>
      </c>
      <c r="UD54" s="99">
        <v>37.858009380863102</v>
      </c>
      <c r="UE54" s="99">
        <v>37.915062851782402</v>
      </c>
      <c r="UF54" s="99">
        <v>37.972116322701702</v>
      </c>
      <c r="UG54" s="99">
        <v>38.029169793621001</v>
      </c>
      <c r="UH54" s="99">
        <v>38.086223264540401</v>
      </c>
      <c r="UI54" s="99">
        <v>38.1432767354597</v>
      </c>
      <c r="UJ54" s="99">
        <v>38.200330206379</v>
      </c>
      <c r="UK54" s="99">
        <v>38.2573836772983</v>
      </c>
      <c r="UL54" s="99">
        <v>38.314437148217699</v>
      </c>
      <c r="UM54" s="99">
        <v>38.371490619136999</v>
      </c>
      <c r="UN54" s="99">
        <v>38.428544090056299</v>
      </c>
      <c r="UO54" s="99">
        <v>38.485597560975599</v>
      </c>
      <c r="UP54" s="99">
        <v>38.542651031894998</v>
      </c>
      <c r="UQ54" s="99">
        <v>38.599704502814298</v>
      </c>
      <c r="UR54" s="99">
        <v>38.656757973733598</v>
      </c>
      <c r="US54" s="99">
        <v>38.713811444652897</v>
      </c>
      <c r="UT54" s="99">
        <v>38.770864915572197</v>
      </c>
    </row>
    <row r="55" spans="1:566" x14ac:dyDescent="0.2">
      <c r="A55" s="89">
        <v>24.5</v>
      </c>
      <c r="B55" s="90">
        <v>6.53</v>
      </c>
      <c r="C55" s="90">
        <v>6.59</v>
      </c>
      <c r="D55" s="90">
        <v>6.64</v>
      </c>
      <c r="E55" s="90">
        <v>6.7</v>
      </c>
      <c r="F55" s="90">
        <v>6.76</v>
      </c>
      <c r="G55" s="90">
        <v>6.81</v>
      </c>
      <c r="H55" s="90">
        <v>6.87</v>
      </c>
      <c r="I55" s="90">
        <v>6.93</v>
      </c>
      <c r="J55" s="90">
        <v>6.98</v>
      </c>
      <c r="K55" s="90">
        <v>7.04</v>
      </c>
      <c r="L55" s="90">
        <v>7.1</v>
      </c>
      <c r="M55" s="90">
        <v>7.15</v>
      </c>
      <c r="N55" s="90">
        <v>7.21</v>
      </c>
      <c r="O55" s="90">
        <v>7.27</v>
      </c>
      <c r="P55" s="90">
        <v>7.32</v>
      </c>
      <c r="Q55" s="90">
        <v>7.38</v>
      </c>
      <c r="R55" s="90">
        <v>7.44</v>
      </c>
      <c r="S55" s="90">
        <v>7.49</v>
      </c>
      <c r="T55" s="90">
        <v>7.55</v>
      </c>
      <c r="U55" s="91">
        <v>7.61</v>
      </c>
      <c r="V55" s="90">
        <v>7.66</v>
      </c>
      <c r="W55" s="90">
        <v>7.72</v>
      </c>
      <c r="X55" s="90">
        <v>7.77</v>
      </c>
      <c r="Y55" s="90">
        <v>7.83</v>
      </c>
      <c r="Z55" s="90">
        <v>7.89</v>
      </c>
      <c r="AA55" s="90">
        <v>7.94</v>
      </c>
      <c r="AB55" s="90">
        <v>8</v>
      </c>
      <c r="AC55" s="90">
        <v>8.06</v>
      </c>
      <c r="AD55" s="90">
        <v>8.11</v>
      </c>
      <c r="AE55" s="90">
        <v>8.17</v>
      </c>
      <c r="AF55" s="90">
        <v>8.23</v>
      </c>
      <c r="AG55" s="90">
        <v>8.2799999999999994</v>
      </c>
      <c r="AH55" s="90">
        <v>8.34</v>
      </c>
      <c r="AI55" s="90">
        <v>8.4</v>
      </c>
      <c r="AJ55" s="90">
        <v>8.4499999999999993</v>
      </c>
      <c r="AK55" s="90">
        <v>8.51</v>
      </c>
      <c r="AL55" s="90">
        <v>8.57</v>
      </c>
      <c r="AM55" s="90">
        <v>8.6199999999999992</v>
      </c>
      <c r="AN55" s="90">
        <v>8.68</v>
      </c>
      <c r="AO55" s="91">
        <v>8.74</v>
      </c>
      <c r="AP55" s="90">
        <v>8.7926923076923096</v>
      </c>
      <c r="AQ55" s="90">
        <v>8.8492382739212108</v>
      </c>
      <c r="AR55" s="90">
        <v>8.9057842401500995</v>
      </c>
      <c r="AS55" s="90">
        <v>8.96233020637899</v>
      </c>
      <c r="AT55" s="90">
        <v>9.0188761726078805</v>
      </c>
      <c r="AU55" s="90">
        <v>9.07542213883678</v>
      </c>
      <c r="AV55" s="90">
        <v>9.1319681050656705</v>
      </c>
      <c r="AW55" s="90">
        <v>9.1885140712945592</v>
      </c>
      <c r="AX55" s="90">
        <v>9.2450600375234604</v>
      </c>
      <c r="AY55" s="90">
        <v>9.3016060037523491</v>
      </c>
      <c r="AZ55" s="90">
        <v>9.3581519699812397</v>
      </c>
      <c r="BA55" s="90">
        <v>9.4146979362101408</v>
      </c>
      <c r="BB55" s="90">
        <v>9.4712439024390296</v>
      </c>
      <c r="BC55" s="90">
        <v>9.5277898686679201</v>
      </c>
      <c r="BD55" s="90">
        <v>9.5843358348968106</v>
      </c>
      <c r="BE55" s="90">
        <v>9.64088180112571</v>
      </c>
      <c r="BF55" s="90">
        <v>9.6974277673546005</v>
      </c>
      <c r="BG55" s="90">
        <v>9.7539737335834893</v>
      </c>
      <c r="BH55" s="90">
        <v>9.8105196998123905</v>
      </c>
      <c r="BI55" s="91">
        <v>9.8670656660412792</v>
      </c>
      <c r="BJ55" s="90">
        <v>9.9236116322701697</v>
      </c>
      <c r="BK55" s="99">
        <v>9.9801575984990691</v>
      </c>
      <c r="BL55" s="99">
        <v>10.036703564728001</v>
      </c>
      <c r="BM55" s="99">
        <v>10.0932495309568</v>
      </c>
      <c r="BN55" s="99">
        <v>10.1497954971857</v>
      </c>
      <c r="BO55" s="99">
        <v>10.206341463414599</v>
      </c>
      <c r="BP55" s="99">
        <v>10.2628874296435</v>
      </c>
      <c r="BQ55" s="99">
        <v>10.3194333958724</v>
      </c>
      <c r="BR55" s="99">
        <v>10.375979362101299</v>
      </c>
      <c r="BS55" s="99">
        <v>10.4325253283302</v>
      </c>
      <c r="BT55" s="99">
        <v>10.4890712945591</v>
      </c>
      <c r="BU55" s="99">
        <v>10.545617260787999</v>
      </c>
      <c r="BV55" s="99">
        <v>10.6021632270169</v>
      </c>
      <c r="BW55" s="99">
        <v>10.6587091932458</v>
      </c>
      <c r="BX55" s="99">
        <v>10.715255159474699</v>
      </c>
      <c r="BY55" s="99">
        <v>10.7718011257036</v>
      </c>
      <c r="BZ55" s="99">
        <v>10.8283470919325</v>
      </c>
      <c r="CA55" s="99">
        <v>10.884893058161399</v>
      </c>
      <c r="CB55" s="99">
        <v>10.941439024390201</v>
      </c>
      <c r="CC55" s="99">
        <v>10.9979849906191</v>
      </c>
      <c r="CD55" s="99">
        <v>11.054530956848</v>
      </c>
      <c r="CE55" s="99">
        <v>11.111076923076901</v>
      </c>
      <c r="CF55" s="99">
        <v>11.1676228893058</v>
      </c>
      <c r="CG55" s="99">
        <v>11.2241688555347</v>
      </c>
      <c r="CH55" s="99">
        <v>11.280714821763601</v>
      </c>
      <c r="CI55" s="99">
        <v>11.3372607879925</v>
      </c>
      <c r="CJ55" s="99">
        <v>11.3938067542214</v>
      </c>
      <c r="CK55" s="99">
        <v>11.450352720450301</v>
      </c>
      <c r="CL55" s="99">
        <v>11.5068986866792</v>
      </c>
      <c r="CM55" s="99">
        <v>11.5634446529081</v>
      </c>
      <c r="CN55" s="99">
        <v>11.619990619137001</v>
      </c>
      <c r="CO55" s="99">
        <v>11.6765365853659</v>
      </c>
      <c r="CP55" s="99">
        <v>11.7330825515947</v>
      </c>
      <c r="CQ55" s="99">
        <v>11.7896285178236</v>
      </c>
      <c r="CR55" s="99">
        <v>11.846174484052501</v>
      </c>
      <c r="CS55" s="99">
        <v>11.9027204502814</v>
      </c>
      <c r="CT55" s="99">
        <v>11.9592664165103</v>
      </c>
      <c r="CU55" s="99">
        <v>12.015812382739201</v>
      </c>
      <c r="CV55" s="99">
        <v>12.0723583489681</v>
      </c>
      <c r="CW55" s="99">
        <v>12.128904315197</v>
      </c>
      <c r="CX55" s="99">
        <v>12.185450281425901</v>
      </c>
      <c r="CY55" s="99">
        <v>12.2419962476548</v>
      </c>
      <c r="CZ55" s="99">
        <v>12.2985422138837</v>
      </c>
      <c r="DA55" s="99">
        <v>12.355088180112601</v>
      </c>
      <c r="DB55" s="99">
        <v>12.4116341463415</v>
      </c>
      <c r="DC55" s="99">
        <v>12.468180112570399</v>
      </c>
      <c r="DD55" s="99">
        <v>12.524726078799199</v>
      </c>
      <c r="DE55" s="99">
        <v>12.581272045028101</v>
      </c>
      <c r="DF55" s="99">
        <v>12.637818011257</v>
      </c>
      <c r="DG55" s="99">
        <v>12.694363977485899</v>
      </c>
      <c r="DH55" s="99">
        <v>12.750909943714801</v>
      </c>
      <c r="DI55" s="99">
        <v>12.8074559099437</v>
      </c>
      <c r="DJ55" s="99">
        <v>12.864001876172599</v>
      </c>
      <c r="DK55" s="99">
        <v>12.920547842401501</v>
      </c>
      <c r="DL55" s="99">
        <v>12.9770938086304</v>
      </c>
      <c r="DM55" s="99">
        <v>13.033639774859299</v>
      </c>
      <c r="DN55" s="99">
        <v>13.090185741088201</v>
      </c>
      <c r="DO55" s="99">
        <v>13.1467317073171</v>
      </c>
      <c r="DP55" s="99">
        <v>13.203277673545999</v>
      </c>
      <c r="DQ55" s="99">
        <v>13.259823639774901</v>
      </c>
      <c r="DR55" s="99">
        <v>13.3163696060038</v>
      </c>
      <c r="DS55" s="99">
        <v>13.3729155722326</v>
      </c>
      <c r="DT55" s="99">
        <v>13.429461538461499</v>
      </c>
      <c r="DU55" s="99">
        <v>13.4860075046904</v>
      </c>
      <c r="DV55" s="99">
        <v>13.5425534709193</v>
      </c>
      <c r="DW55" s="99">
        <v>13.599099437148199</v>
      </c>
      <c r="DX55" s="99">
        <v>13.6556454033771</v>
      </c>
      <c r="DY55" s="99">
        <v>13.712191369606</v>
      </c>
      <c r="DZ55" s="99">
        <v>13.768737335834899</v>
      </c>
      <c r="EA55" s="99">
        <v>13.8252833020638</v>
      </c>
      <c r="EB55" s="99">
        <v>13.8818292682927</v>
      </c>
      <c r="EC55" s="99">
        <v>13.938375234521599</v>
      </c>
      <c r="ED55" s="99">
        <v>13.9949212007505</v>
      </c>
      <c r="EE55" s="99">
        <v>14.0514671669794</v>
      </c>
      <c r="EF55" s="99">
        <v>14.108013133208299</v>
      </c>
      <c r="EG55" s="99">
        <v>14.164559099437099</v>
      </c>
      <c r="EH55" s="99">
        <v>14.221105065666</v>
      </c>
      <c r="EI55" s="99">
        <v>14.2776510318949</v>
      </c>
      <c r="EJ55" s="99">
        <v>14.334196998123801</v>
      </c>
      <c r="EK55" s="99">
        <v>14.3907429643527</v>
      </c>
      <c r="EL55" s="99">
        <v>14.4472889305816</v>
      </c>
      <c r="EM55" s="99">
        <v>14.503834896810501</v>
      </c>
      <c r="EN55" s="99">
        <v>14.5603808630394</v>
      </c>
      <c r="EO55" s="99">
        <v>14.6169268292683</v>
      </c>
      <c r="EP55" s="99">
        <v>14.673472795497201</v>
      </c>
      <c r="EQ55" s="99">
        <v>14.7300187617261</v>
      </c>
      <c r="ER55" s="99">
        <v>14.786564727955</v>
      </c>
      <c r="ES55" s="99">
        <v>14.843110694183901</v>
      </c>
      <c r="ET55" s="99">
        <v>14.8996566604128</v>
      </c>
      <c r="EU55" s="99">
        <v>14.9562026266416</v>
      </c>
      <c r="EV55" s="99">
        <v>15.0127485928705</v>
      </c>
      <c r="EW55" s="99">
        <v>15.069294559099401</v>
      </c>
      <c r="EX55" s="99">
        <v>15.1258405253283</v>
      </c>
      <c r="EY55" s="99">
        <v>15.1823864915572</v>
      </c>
      <c r="EZ55" s="99">
        <v>15.238932457786101</v>
      </c>
      <c r="FA55" s="99">
        <v>15.295478424015</v>
      </c>
      <c r="FB55" s="99">
        <v>15.3520243902439</v>
      </c>
      <c r="FC55" s="99">
        <v>15.408570356472801</v>
      </c>
      <c r="FD55" s="99">
        <v>15.4651163227017</v>
      </c>
      <c r="FE55" s="99">
        <v>15.5216622889306</v>
      </c>
      <c r="FF55" s="99">
        <v>15.578208255159501</v>
      </c>
      <c r="FG55" s="99">
        <v>15.6347542213884</v>
      </c>
      <c r="FH55" s="99">
        <v>15.691300187617299</v>
      </c>
      <c r="FI55" s="99">
        <v>15.747846153846201</v>
      </c>
      <c r="FJ55" s="99">
        <v>15.804392120075001</v>
      </c>
      <c r="FK55" s="99">
        <v>15.8609380863039</v>
      </c>
      <c r="FL55" s="99">
        <v>15.917484052532799</v>
      </c>
      <c r="FM55" s="99">
        <v>15.974030018761701</v>
      </c>
      <c r="FN55" s="99">
        <v>16.030575984990602</v>
      </c>
      <c r="FO55" s="99">
        <v>16.087121951219501</v>
      </c>
      <c r="FP55" s="99">
        <v>16.143667917448401</v>
      </c>
      <c r="FQ55" s="99">
        <v>16.2002138836773</v>
      </c>
      <c r="FR55" s="99">
        <v>16.256759849906199</v>
      </c>
      <c r="FS55" s="99">
        <v>16.313305816135099</v>
      </c>
      <c r="FT55" s="99">
        <v>16.369851782364002</v>
      </c>
      <c r="FU55" s="99">
        <v>16.426397748592901</v>
      </c>
      <c r="FV55" s="99">
        <v>16.482943714821801</v>
      </c>
      <c r="FW55" s="99">
        <v>16.5394896810507</v>
      </c>
      <c r="FX55" s="99">
        <v>16.596035647279599</v>
      </c>
      <c r="FY55" s="99">
        <v>16.652581613508499</v>
      </c>
      <c r="FZ55" s="99">
        <v>16.709127579737402</v>
      </c>
      <c r="GA55" s="99">
        <v>16.765673545966202</v>
      </c>
      <c r="GB55" s="99">
        <v>16.822219512195101</v>
      </c>
      <c r="GC55" s="99">
        <v>16.878765478424</v>
      </c>
      <c r="GD55" s="99">
        <v>16.9353114446529</v>
      </c>
      <c r="GE55" s="99">
        <v>16.991857410881799</v>
      </c>
      <c r="GF55" s="99">
        <v>17.048403377110699</v>
      </c>
      <c r="GG55" s="99">
        <v>17.104949343339602</v>
      </c>
      <c r="GH55" s="99">
        <v>17.161495309568501</v>
      </c>
      <c r="GI55" s="99">
        <v>17.2180412757974</v>
      </c>
      <c r="GJ55" s="99">
        <v>17.2745872420263</v>
      </c>
      <c r="GK55" s="99">
        <v>17.331133208255199</v>
      </c>
      <c r="GL55" s="99">
        <v>17.387679174484099</v>
      </c>
      <c r="GM55" s="99">
        <v>17.444225140713002</v>
      </c>
      <c r="GN55" s="99">
        <v>17.500771106941901</v>
      </c>
      <c r="GO55" s="99">
        <v>17.557317073170701</v>
      </c>
      <c r="GP55" s="99">
        <v>17.6138630393996</v>
      </c>
      <c r="GQ55" s="99">
        <v>17.6704090056285</v>
      </c>
      <c r="GR55" s="99">
        <v>17.726954971857399</v>
      </c>
      <c r="GS55" s="99">
        <v>17.783500938086299</v>
      </c>
      <c r="GT55" s="99">
        <v>17.840046904315201</v>
      </c>
      <c r="GU55" s="99">
        <v>17.896592870544101</v>
      </c>
      <c r="GV55" s="99">
        <v>17.953138836773</v>
      </c>
      <c r="GW55" s="99">
        <v>18.0096848030019</v>
      </c>
      <c r="GX55" s="99">
        <v>18.066230769230799</v>
      </c>
      <c r="GY55" s="99">
        <v>18.122776735459698</v>
      </c>
      <c r="GZ55" s="99">
        <v>18.179322701688601</v>
      </c>
      <c r="HA55" s="99">
        <v>18.235868667917501</v>
      </c>
      <c r="HB55" s="99">
        <v>18.2924146341464</v>
      </c>
      <c r="HC55" s="99">
        <v>18.3489606003752</v>
      </c>
      <c r="HD55" s="99">
        <v>18.4055065666041</v>
      </c>
      <c r="HE55" s="99">
        <v>18.462052532832999</v>
      </c>
      <c r="HF55" s="99">
        <v>18.518598499061898</v>
      </c>
      <c r="HG55" s="99">
        <v>18.575144465290801</v>
      </c>
      <c r="HH55" s="99">
        <v>18.631690431519701</v>
      </c>
      <c r="HI55" s="99">
        <v>18.6882363977486</v>
      </c>
      <c r="HJ55" s="99">
        <v>18.7447823639775</v>
      </c>
      <c r="HK55" s="99">
        <v>18.801328330206399</v>
      </c>
      <c r="HL55" s="99">
        <v>18.857874296435298</v>
      </c>
      <c r="HM55" s="99">
        <v>18.914420262664201</v>
      </c>
      <c r="HN55" s="99">
        <v>18.970966228893101</v>
      </c>
      <c r="HO55" s="99">
        <v>19.027512195122</v>
      </c>
      <c r="HP55" s="99">
        <v>19.084058161350899</v>
      </c>
      <c r="HQ55" s="99">
        <v>19.140604127579799</v>
      </c>
      <c r="HR55" s="99">
        <v>19.197150093808599</v>
      </c>
      <c r="HS55" s="99">
        <v>19.253696060037498</v>
      </c>
      <c r="HT55" s="99">
        <v>19.310242026266401</v>
      </c>
      <c r="HU55" s="99">
        <v>19.366787992495301</v>
      </c>
      <c r="HV55" s="99">
        <v>19.4233339587242</v>
      </c>
      <c r="HW55" s="99">
        <v>19.479879924953099</v>
      </c>
      <c r="HX55" s="99">
        <v>19.536425891181999</v>
      </c>
      <c r="HY55" s="99">
        <v>19.592971857410902</v>
      </c>
      <c r="HZ55" s="99">
        <v>19.649517823639801</v>
      </c>
      <c r="IA55" s="99">
        <v>19.706063789868701</v>
      </c>
      <c r="IB55" s="99">
        <v>19.7626097560976</v>
      </c>
      <c r="IC55" s="99">
        <v>19.819155722326499</v>
      </c>
      <c r="ID55" s="99">
        <v>19.875701688555399</v>
      </c>
      <c r="IE55" s="99">
        <v>19.932247654784302</v>
      </c>
      <c r="IF55" s="99">
        <v>19.988793621013102</v>
      </c>
      <c r="IG55" s="99">
        <v>20.045339587242001</v>
      </c>
      <c r="IH55" s="99">
        <v>20.1018855534709</v>
      </c>
      <c r="II55" s="99">
        <v>20.1584315196998</v>
      </c>
      <c r="IJ55" s="99">
        <v>20.214977485928699</v>
      </c>
      <c r="IK55" s="99">
        <v>20.271523452157599</v>
      </c>
      <c r="IL55" s="99">
        <v>20.328069418386502</v>
      </c>
      <c r="IM55" s="99">
        <v>20.384615384615401</v>
      </c>
      <c r="IN55" s="99">
        <v>20.4411613508443</v>
      </c>
      <c r="IO55" s="99">
        <v>20.4977073170732</v>
      </c>
      <c r="IP55" s="99">
        <v>20.554253283302099</v>
      </c>
      <c r="IQ55" s="99">
        <v>20.610799249530999</v>
      </c>
      <c r="IR55" s="99">
        <v>20.667345215759902</v>
      </c>
      <c r="IS55" s="99">
        <v>20.723891181988801</v>
      </c>
      <c r="IT55" s="99">
        <v>20.780437148217601</v>
      </c>
      <c r="IU55" s="99">
        <v>20.8369831144465</v>
      </c>
      <c r="IV55" s="99">
        <v>20.8935290806754</v>
      </c>
      <c r="IW55" s="99">
        <v>20.950075046904299</v>
      </c>
      <c r="IX55" s="99">
        <v>21.006621013133199</v>
      </c>
      <c r="IY55" s="99">
        <v>21.063166979362101</v>
      </c>
      <c r="IZ55" s="99">
        <v>21.119712945591001</v>
      </c>
      <c r="JA55" s="99">
        <v>21.1762589118199</v>
      </c>
      <c r="JB55" s="99">
        <v>21.2328048780488</v>
      </c>
      <c r="JC55" s="99">
        <v>21.289350844277699</v>
      </c>
      <c r="JD55" s="99">
        <v>21.345896810506598</v>
      </c>
      <c r="JE55" s="99">
        <v>21.402442776735501</v>
      </c>
      <c r="JF55" s="99">
        <v>21.458988742964401</v>
      </c>
      <c r="JG55" s="99">
        <v>21.5155347091933</v>
      </c>
      <c r="JH55" s="99">
        <v>21.5720806754222</v>
      </c>
      <c r="JI55" s="99">
        <v>21.628626641651</v>
      </c>
      <c r="JJ55" s="99">
        <v>21.685172607879899</v>
      </c>
      <c r="JK55" s="99">
        <v>21.741718574108798</v>
      </c>
      <c r="JL55" s="99">
        <v>21.798264540337701</v>
      </c>
      <c r="JM55" s="99">
        <v>21.854810506566601</v>
      </c>
      <c r="JN55" s="99">
        <v>21.9113564727955</v>
      </c>
      <c r="JO55" s="99">
        <v>21.9679024390244</v>
      </c>
      <c r="JP55" s="99">
        <v>22.024448405253299</v>
      </c>
      <c r="JQ55" s="99">
        <v>22.080994371482198</v>
      </c>
      <c r="JR55" s="99">
        <v>22.137540337711101</v>
      </c>
      <c r="JS55" s="99">
        <v>22.194086303940001</v>
      </c>
      <c r="JT55" s="99">
        <v>22.2506322701689</v>
      </c>
      <c r="JU55" s="99">
        <v>22.3071782363978</v>
      </c>
      <c r="JV55" s="99">
        <v>22.363724202626699</v>
      </c>
      <c r="JW55" s="99">
        <v>22.420270168855499</v>
      </c>
      <c r="JX55" s="99">
        <v>22.476816135084398</v>
      </c>
      <c r="JY55" s="99">
        <v>22.533362101313301</v>
      </c>
      <c r="JZ55" s="99">
        <v>22.589908067542201</v>
      </c>
      <c r="KA55" s="99">
        <v>22.6464540337711</v>
      </c>
      <c r="KB55" s="99">
        <v>22.702999999999999</v>
      </c>
      <c r="KC55" s="99">
        <v>22.759545966228899</v>
      </c>
      <c r="KD55" s="99">
        <v>22.816091932457802</v>
      </c>
      <c r="KE55" s="99">
        <v>22.872637898686701</v>
      </c>
      <c r="KF55" s="99">
        <v>22.929183864915601</v>
      </c>
      <c r="KG55" s="99">
        <v>22.9857298311445</v>
      </c>
      <c r="KH55" s="99">
        <v>23.042275797373399</v>
      </c>
      <c r="KI55" s="99">
        <v>23.098821763602299</v>
      </c>
      <c r="KJ55" s="99">
        <v>23.155367729831202</v>
      </c>
      <c r="KK55" s="99">
        <v>23.211913696060101</v>
      </c>
      <c r="KL55" s="99">
        <v>23.268459662288901</v>
      </c>
      <c r="KM55" s="99">
        <v>23.3250056285178</v>
      </c>
      <c r="KN55" s="99">
        <v>23.3815515947467</v>
      </c>
      <c r="KO55" s="99">
        <v>23.438097560975599</v>
      </c>
      <c r="KP55" s="99">
        <v>23.494643527204499</v>
      </c>
      <c r="KQ55" s="99">
        <v>23.551189493433402</v>
      </c>
      <c r="KR55" s="99">
        <v>23.607735459662301</v>
      </c>
      <c r="KS55" s="99">
        <v>23.6642814258912</v>
      </c>
      <c r="KT55" s="99">
        <v>23.7208273921201</v>
      </c>
      <c r="KU55" s="99">
        <v>23.777373358348999</v>
      </c>
      <c r="KV55" s="99">
        <v>23.833919324577899</v>
      </c>
      <c r="KW55" s="99">
        <v>23.890465290806802</v>
      </c>
      <c r="KX55" s="99">
        <v>23.947011257035701</v>
      </c>
      <c r="KY55" s="99">
        <v>24.0035572232646</v>
      </c>
      <c r="KZ55" s="99">
        <v>24.0601031894934</v>
      </c>
      <c r="LA55" s="99">
        <v>24.1166491557223</v>
      </c>
      <c r="LB55" s="99">
        <v>24.173195121951199</v>
      </c>
      <c r="LC55" s="99">
        <v>24.229741088180099</v>
      </c>
      <c r="LD55" s="99">
        <v>24.286287054409001</v>
      </c>
      <c r="LE55" s="99">
        <v>24.342833020637901</v>
      </c>
      <c r="LF55" s="99">
        <v>24.3993789868668</v>
      </c>
      <c r="LG55" s="99">
        <v>24.4559249530957</v>
      </c>
      <c r="LH55" s="99">
        <v>24.512470919324599</v>
      </c>
      <c r="LI55" s="99">
        <v>24.569016885553498</v>
      </c>
      <c r="LJ55" s="99">
        <v>24.625562851782401</v>
      </c>
      <c r="LK55" s="99">
        <v>24.682108818011301</v>
      </c>
      <c r="LL55" s="99">
        <v>24.7386547842402</v>
      </c>
      <c r="LM55" s="99">
        <v>24.7952007504691</v>
      </c>
      <c r="LN55" s="99">
        <v>24.8517467166979</v>
      </c>
      <c r="LO55" s="99">
        <v>24.908292682926799</v>
      </c>
      <c r="LP55" s="99">
        <v>24.964838649155698</v>
      </c>
      <c r="LQ55" s="99">
        <v>25.021384615384601</v>
      </c>
      <c r="LR55" s="99">
        <v>25.077930581613501</v>
      </c>
      <c r="LS55" s="99">
        <v>25.1344765478424</v>
      </c>
      <c r="LT55" s="99">
        <v>25.1910225140713</v>
      </c>
      <c r="LU55" s="99">
        <v>25.247568480300199</v>
      </c>
      <c r="LV55" s="99">
        <v>25.304114446529098</v>
      </c>
      <c r="LW55" s="99">
        <v>25.360660412758001</v>
      </c>
      <c r="LX55" s="99">
        <v>25.417206378986901</v>
      </c>
      <c r="LY55" s="99">
        <v>25.4737523452158</v>
      </c>
      <c r="LZ55" s="99">
        <v>25.5302983114447</v>
      </c>
      <c r="MA55" s="99">
        <v>25.586844277673599</v>
      </c>
      <c r="MB55" s="99">
        <v>25.643390243902498</v>
      </c>
      <c r="MC55" s="99">
        <v>25.699936210131298</v>
      </c>
      <c r="MD55" s="99">
        <v>25.756482176360201</v>
      </c>
      <c r="ME55" s="99">
        <v>25.813028142589101</v>
      </c>
      <c r="MF55" s="99">
        <v>25.869574108818</v>
      </c>
      <c r="MG55" s="99">
        <v>25.926120075046899</v>
      </c>
      <c r="MH55" s="99">
        <v>25.982666041275799</v>
      </c>
      <c r="MI55" s="99">
        <v>26.039212007504702</v>
      </c>
      <c r="MJ55" s="99">
        <v>26.095757973733601</v>
      </c>
      <c r="MK55" s="99">
        <v>26.152303939962501</v>
      </c>
      <c r="ML55" s="99">
        <v>26.2088499061914</v>
      </c>
      <c r="MM55" s="99">
        <v>26.265395872420299</v>
      </c>
      <c r="MN55" s="99">
        <v>26.321941838649199</v>
      </c>
      <c r="MO55" s="99">
        <v>26.378487804878102</v>
      </c>
      <c r="MP55" s="99">
        <v>26.435033771107001</v>
      </c>
      <c r="MQ55" s="99">
        <v>26.491579737335801</v>
      </c>
      <c r="MR55" s="99">
        <v>26.5481257035647</v>
      </c>
      <c r="MS55" s="99">
        <v>26.6046716697936</v>
      </c>
      <c r="MT55" s="99">
        <v>26.661217636022499</v>
      </c>
      <c r="MU55" s="99">
        <v>26.717763602251399</v>
      </c>
      <c r="MV55" s="99">
        <v>26.774309568480302</v>
      </c>
      <c r="MW55" s="99">
        <v>26.830855534709201</v>
      </c>
      <c r="MX55" s="99">
        <v>26.8874015009381</v>
      </c>
      <c r="MY55" s="99">
        <v>26.943947467167</v>
      </c>
      <c r="MZ55" s="99">
        <v>27.000493433395899</v>
      </c>
      <c r="NA55" s="99">
        <v>27.057039399624799</v>
      </c>
      <c r="NB55" s="99">
        <v>27.113585365853702</v>
      </c>
      <c r="NC55" s="99">
        <v>27.170131332082601</v>
      </c>
      <c r="ND55" s="99">
        <v>27.2266772983115</v>
      </c>
      <c r="NE55" s="99">
        <v>27.2832232645404</v>
      </c>
      <c r="NF55" s="99">
        <v>27.3397692307692</v>
      </c>
      <c r="NG55" s="99">
        <v>27.396315196998099</v>
      </c>
      <c r="NH55" s="99">
        <v>27.452861163226999</v>
      </c>
      <c r="NI55" s="99">
        <v>27.509407129455901</v>
      </c>
      <c r="NJ55" s="99">
        <v>27.565953095684801</v>
      </c>
      <c r="NK55" s="99">
        <v>27.6224990619137</v>
      </c>
      <c r="NL55" s="99">
        <v>27.6790450281426</v>
      </c>
      <c r="NM55" s="99">
        <v>27.735590994371499</v>
      </c>
      <c r="NN55" s="99">
        <v>27.792136960600399</v>
      </c>
      <c r="NO55" s="99">
        <v>27.848682926829301</v>
      </c>
      <c r="NP55" s="99">
        <v>27.905228893058201</v>
      </c>
      <c r="NQ55" s="99">
        <v>27.9617748592871</v>
      </c>
      <c r="NR55" s="99">
        <v>28.018320825516</v>
      </c>
      <c r="NS55" s="99">
        <v>28.074866791744899</v>
      </c>
      <c r="NT55" s="99">
        <v>28.131412757973699</v>
      </c>
      <c r="NU55" s="99">
        <v>28.187958724202598</v>
      </c>
      <c r="NV55" s="99">
        <v>28.244504690431501</v>
      </c>
      <c r="NW55" s="99">
        <v>28.301050656660401</v>
      </c>
      <c r="NX55" s="99">
        <v>28.3575966228893</v>
      </c>
      <c r="NY55" s="99">
        <v>28.4141425891182</v>
      </c>
      <c r="NZ55" s="99">
        <v>28.470688555347099</v>
      </c>
      <c r="OA55" s="99">
        <v>28.527234521575998</v>
      </c>
      <c r="OB55" s="99">
        <v>28.583780487804901</v>
      </c>
      <c r="OC55" s="99">
        <v>28.640326454033801</v>
      </c>
      <c r="OD55" s="99">
        <v>28.6968724202627</v>
      </c>
      <c r="OE55" s="99">
        <v>28.7534183864916</v>
      </c>
      <c r="OF55" s="99">
        <v>28.809964352720499</v>
      </c>
      <c r="OG55" s="99">
        <v>28.866510318949398</v>
      </c>
      <c r="OH55" s="99">
        <v>28.923056285178198</v>
      </c>
      <c r="OI55" s="99">
        <v>28.979602251407101</v>
      </c>
      <c r="OJ55" s="99">
        <v>29.036148217636001</v>
      </c>
      <c r="OK55" s="99">
        <v>29.0926941838649</v>
      </c>
      <c r="OL55" s="99">
        <v>29.149240150093799</v>
      </c>
      <c r="OM55" s="99">
        <v>29.205786116322699</v>
      </c>
      <c r="ON55" s="99">
        <v>29.262332082551598</v>
      </c>
      <c r="OO55" s="99">
        <v>29.318878048780501</v>
      </c>
      <c r="OP55" s="99">
        <v>29.375424015009401</v>
      </c>
      <c r="OQ55" s="99">
        <v>29.4319699812383</v>
      </c>
      <c r="OR55" s="99">
        <v>29.488515947467199</v>
      </c>
      <c r="OS55" s="99">
        <v>29.545061913696099</v>
      </c>
      <c r="OT55" s="99">
        <v>29.601607879925002</v>
      </c>
      <c r="OU55" s="99">
        <v>29.658153846153901</v>
      </c>
      <c r="OV55" s="99">
        <v>29.714699812382801</v>
      </c>
      <c r="OW55" s="99">
        <v>29.7712457786116</v>
      </c>
      <c r="OX55" s="99">
        <v>29.8277917448405</v>
      </c>
      <c r="OY55" s="99">
        <v>29.884337711069399</v>
      </c>
      <c r="OZ55" s="99">
        <v>29.940883677298299</v>
      </c>
      <c r="PA55" s="99">
        <v>29.997429643527202</v>
      </c>
      <c r="PB55" s="99">
        <v>30.053975609756101</v>
      </c>
      <c r="PC55" s="99">
        <v>30.110521575985</v>
      </c>
      <c r="PD55" s="99">
        <v>30.1670675422139</v>
      </c>
      <c r="PE55" s="99">
        <v>30.223613508442799</v>
      </c>
      <c r="PF55" s="99">
        <v>30.280159474671699</v>
      </c>
      <c r="PG55" s="99">
        <v>30.336705440900602</v>
      </c>
      <c r="PH55" s="99">
        <v>30.393251407129501</v>
      </c>
      <c r="PI55" s="99">
        <v>30.4497973733584</v>
      </c>
      <c r="PJ55" s="99">
        <v>30.5063433395873</v>
      </c>
      <c r="PK55" s="99">
        <v>30.5628893058161</v>
      </c>
      <c r="PL55" s="99">
        <v>30.619435272044999</v>
      </c>
      <c r="PM55" s="99">
        <v>30.675981238273899</v>
      </c>
      <c r="PN55" s="99">
        <v>30.732527204502802</v>
      </c>
      <c r="PO55" s="99">
        <v>30.789073170731701</v>
      </c>
      <c r="PP55" s="99">
        <v>30.8456191369606</v>
      </c>
      <c r="PQ55" s="99">
        <v>30.9021651031895</v>
      </c>
      <c r="PR55" s="99">
        <v>30.958711069418399</v>
      </c>
      <c r="PS55" s="99">
        <v>31.015257035647299</v>
      </c>
      <c r="PT55" s="99">
        <v>31.071803001876201</v>
      </c>
      <c r="PU55" s="99">
        <v>31.128348968105101</v>
      </c>
      <c r="PV55" s="99">
        <v>31.184894934334</v>
      </c>
      <c r="PW55" s="99">
        <v>31.2414409005629</v>
      </c>
      <c r="PX55" s="99">
        <v>31.297986866791799</v>
      </c>
      <c r="PY55" s="99">
        <v>31.354532833020599</v>
      </c>
      <c r="PZ55" s="99">
        <v>31.411078799249498</v>
      </c>
      <c r="QA55" s="99">
        <v>31.467624765478401</v>
      </c>
      <c r="QB55" s="99">
        <v>31.524170731707301</v>
      </c>
      <c r="QC55" s="99">
        <v>31.5807166979362</v>
      </c>
      <c r="QD55" s="99">
        <v>31.6372626641651</v>
      </c>
      <c r="QE55" s="99">
        <v>31.693808630393999</v>
      </c>
      <c r="QF55" s="99">
        <v>31.750354596622898</v>
      </c>
      <c r="QG55" s="99">
        <v>31.806900562851801</v>
      </c>
      <c r="QH55" s="99">
        <v>31.863446529080701</v>
      </c>
      <c r="QI55" s="99">
        <v>31.9199924953096</v>
      </c>
      <c r="QJ55" s="99">
        <v>31.9765384615385</v>
      </c>
      <c r="QK55" s="99">
        <v>32.033084427767399</v>
      </c>
      <c r="QL55" s="99">
        <v>32.089630393996302</v>
      </c>
      <c r="QM55" s="99">
        <v>32.146176360225198</v>
      </c>
      <c r="QN55" s="99">
        <v>32.202722326454001</v>
      </c>
      <c r="QO55" s="99">
        <v>32.259268292682897</v>
      </c>
      <c r="QP55" s="99">
        <v>32.3158142589118</v>
      </c>
      <c r="QQ55" s="99">
        <v>32.372360225140703</v>
      </c>
      <c r="QR55" s="99">
        <v>32.428906191369599</v>
      </c>
      <c r="QS55" s="99">
        <v>32.485452157598502</v>
      </c>
      <c r="QT55" s="99">
        <v>32.541998123827398</v>
      </c>
      <c r="QU55" s="99">
        <v>32.598544090056301</v>
      </c>
      <c r="QV55" s="99">
        <v>32.655090056285196</v>
      </c>
      <c r="QW55" s="99">
        <v>32.711636022514099</v>
      </c>
      <c r="QX55" s="99">
        <v>32.768181988743002</v>
      </c>
      <c r="QY55" s="99">
        <v>32.824727954971898</v>
      </c>
      <c r="QZ55" s="99">
        <v>32.881273921200801</v>
      </c>
      <c r="RA55" s="99">
        <v>32.937819887429697</v>
      </c>
      <c r="RB55" s="99">
        <v>32.9943658536586</v>
      </c>
      <c r="RC55" s="99">
        <v>33.050911819887403</v>
      </c>
      <c r="RD55" s="99">
        <v>33.107457786116299</v>
      </c>
      <c r="RE55" s="99">
        <v>33.164003752345202</v>
      </c>
      <c r="RF55" s="99">
        <v>33.220549718574098</v>
      </c>
      <c r="RG55" s="99">
        <v>33.277095684803001</v>
      </c>
      <c r="RH55" s="99">
        <v>33.333641651031897</v>
      </c>
      <c r="RI55" s="99">
        <v>33.3901876172608</v>
      </c>
      <c r="RJ55" s="99">
        <v>33.446733583489703</v>
      </c>
      <c r="RK55" s="99">
        <v>33.503279549718599</v>
      </c>
      <c r="RL55" s="99">
        <v>33.559825515947502</v>
      </c>
      <c r="RM55" s="99">
        <v>33.616371482176397</v>
      </c>
      <c r="RN55" s="99">
        <v>33.6729174484053</v>
      </c>
      <c r="RO55" s="99">
        <v>33.729463414634203</v>
      </c>
      <c r="RP55" s="99">
        <v>33.786009380863099</v>
      </c>
      <c r="RQ55" s="99">
        <v>33.842555347091903</v>
      </c>
      <c r="RR55" s="99">
        <v>33.899101313320799</v>
      </c>
      <c r="RS55" s="99">
        <v>33.955647279549702</v>
      </c>
      <c r="RT55" s="99">
        <v>34.012193245778597</v>
      </c>
      <c r="RU55" s="99">
        <v>34.0687392120075</v>
      </c>
      <c r="RV55" s="99">
        <v>34.125285178236403</v>
      </c>
      <c r="RW55" s="99">
        <v>34.181831144465299</v>
      </c>
      <c r="RX55" s="99">
        <v>34.238377110694202</v>
      </c>
      <c r="RY55" s="99">
        <v>34.294923076923098</v>
      </c>
      <c r="RZ55" s="99">
        <v>34.351469043152001</v>
      </c>
      <c r="SA55" s="99">
        <v>34.408015009380897</v>
      </c>
      <c r="SB55" s="99">
        <v>34.4645609756098</v>
      </c>
      <c r="SC55" s="99">
        <v>34.521106941838703</v>
      </c>
      <c r="SD55" s="99">
        <v>34.577652908067599</v>
      </c>
      <c r="SE55" s="99">
        <v>34.634198874296402</v>
      </c>
      <c r="SF55" s="99">
        <v>34.690744840525298</v>
      </c>
      <c r="SG55" s="99">
        <v>34.747290806754201</v>
      </c>
      <c r="SH55" s="99">
        <v>34.803836772983097</v>
      </c>
      <c r="SI55" s="99">
        <v>34.860382739212</v>
      </c>
      <c r="SJ55" s="99">
        <v>34.916928705440903</v>
      </c>
      <c r="SK55" s="99">
        <v>34.973474671669798</v>
      </c>
      <c r="SL55" s="99">
        <v>35.030020637898701</v>
      </c>
      <c r="SM55" s="99">
        <v>35.086566604127597</v>
      </c>
      <c r="SN55" s="99">
        <v>35.1431125703565</v>
      </c>
      <c r="SO55" s="99">
        <v>35.199658536585403</v>
      </c>
      <c r="SP55" s="99">
        <v>35.256204502814299</v>
      </c>
      <c r="SQ55" s="99">
        <v>35.312750469043202</v>
      </c>
      <c r="SR55" s="99">
        <v>35.369296435272098</v>
      </c>
      <c r="SS55" s="99">
        <v>35.425842401501001</v>
      </c>
      <c r="ST55" s="99">
        <v>35.482388367729797</v>
      </c>
      <c r="SU55" s="99">
        <v>35.5389343339587</v>
      </c>
      <c r="SV55" s="99">
        <v>35.595480300187603</v>
      </c>
      <c r="SW55" s="99">
        <v>35.652026266416499</v>
      </c>
      <c r="SX55" s="99">
        <v>35.708572232645402</v>
      </c>
      <c r="SY55" s="99">
        <v>35.765118198874298</v>
      </c>
      <c r="SZ55" s="99">
        <v>35.821664165103201</v>
      </c>
      <c r="TA55" s="99">
        <v>35.878210131332096</v>
      </c>
      <c r="TB55" s="99">
        <v>35.934756097560999</v>
      </c>
      <c r="TC55" s="99">
        <v>35.991302063789902</v>
      </c>
      <c r="TD55" s="99">
        <v>36.047848030018798</v>
      </c>
      <c r="TE55" s="99">
        <v>36.104393996247701</v>
      </c>
      <c r="TF55" s="99">
        <v>36.160939962476597</v>
      </c>
      <c r="TG55" s="99">
        <v>36.2174859287055</v>
      </c>
      <c r="TH55" s="99">
        <v>36.274031894934303</v>
      </c>
      <c r="TI55" s="99">
        <v>36.330577861163199</v>
      </c>
      <c r="TJ55" s="99">
        <v>36.387123827392102</v>
      </c>
      <c r="TK55" s="99">
        <v>36.443669793620998</v>
      </c>
      <c r="TL55" s="99">
        <v>36.500215759849901</v>
      </c>
      <c r="TM55" s="99">
        <v>36.556761726078797</v>
      </c>
      <c r="TN55" s="99">
        <v>36.6133076923077</v>
      </c>
      <c r="TO55" s="99">
        <v>36.669853658536603</v>
      </c>
      <c r="TP55" s="99">
        <v>36.726399624765499</v>
      </c>
      <c r="TQ55" s="99">
        <v>36.782945590994402</v>
      </c>
      <c r="TR55" s="99">
        <v>36.839491557223297</v>
      </c>
      <c r="TS55" s="99">
        <v>36.8960375234522</v>
      </c>
      <c r="TT55" s="99">
        <v>36.952583489681103</v>
      </c>
      <c r="TU55" s="99">
        <v>37.009129455909999</v>
      </c>
      <c r="TV55" s="99">
        <v>37.065675422138803</v>
      </c>
      <c r="TW55" s="99">
        <v>37.122221388367699</v>
      </c>
      <c r="TX55" s="99">
        <v>37.178767354596602</v>
      </c>
      <c r="TY55" s="99">
        <v>37.235313320825497</v>
      </c>
      <c r="TZ55" s="99">
        <v>37.2918592870544</v>
      </c>
      <c r="UA55" s="99">
        <v>37.348405253283303</v>
      </c>
      <c r="UB55" s="99">
        <v>37.404951219512199</v>
      </c>
      <c r="UC55" s="99">
        <v>37.461497185741102</v>
      </c>
      <c r="UD55" s="99">
        <v>37.518043151969998</v>
      </c>
      <c r="UE55" s="99">
        <v>37.574589118198901</v>
      </c>
      <c r="UF55" s="99">
        <v>37.631135084427797</v>
      </c>
      <c r="UG55" s="99">
        <v>37.6876810506567</v>
      </c>
      <c r="UH55" s="99">
        <v>37.744227016885603</v>
      </c>
      <c r="UI55" s="99">
        <v>37.800772983114499</v>
      </c>
      <c r="UJ55" s="99">
        <v>37.857318949343401</v>
      </c>
      <c r="UK55" s="99">
        <v>37.913864915572198</v>
      </c>
      <c r="UL55" s="99">
        <v>37.970410881801101</v>
      </c>
      <c r="UM55" s="99">
        <v>38.026956848029997</v>
      </c>
      <c r="UN55" s="99">
        <v>38.0835028142589</v>
      </c>
      <c r="UO55" s="99">
        <v>38.140048780487803</v>
      </c>
      <c r="UP55" s="99">
        <v>38.196594746716698</v>
      </c>
      <c r="UQ55" s="99">
        <v>38.253140712945601</v>
      </c>
      <c r="UR55" s="99">
        <v>38.309686679174497</v>
      </c>
      <c r="US55" s="99">
        <v>38.3662326454034</v>
      </c>
      <c r="UT55" s="99">
        <v>38.422778611632303</v>
      </c>
    </row>
    <row r="56" spans="1:566" x14ac:dyDescent="0.2">
      <c r="A56" s="89">
        <v>25</v>
      </c>
      <c r="B56" s="90">
        <v>6.47</v>
      </c>
      <c r="C56" s="90">
        <v>6.52</v>
      </c>
      <c r="D56" s="90">
        <v>6.58</v>
      </c>
      <c r="E56" s="90">
        <v>6.64</v>
      </c>
      <c r="F56" s="90">
        <v>6.69</v>
      </c>
      <c r="G56" s="90">
        <v>6.75</v>
      </c>
      <c r="H56" s="90">
        <v>6.81</v>
      </c>
      <c r="I56" s="90">
        <v>6.86</v>
      </c>
      <c r="J56" s="90">
        <v>6.92</v>
      </c>
      <c r="K56" s="90">
        <v>6.97</v>
      </c>
      <c r="L56" s="90">
        <v>7.03</v>
      </c>
      <c r="M56" s="90">
        <v>7.09</v>
      </c>
      <c r="N56" s="90">
        <v>7.14</v>
      </c>
      <c r="O56" s="90">
        <v>7.2</v>
      </c>
      <c r="P56" s="90">
        <v>7.25</v>
      </c>
      <c r="Q56" s="90">
        <v>7.31</v>
      </c>
      <c r="R56" s="90">
        <v>7.37</v>
      </c>
      <c r="S56" s="90">
        <v>7.42</v>
      </c>
      <c r="T56" s="90">
        <v>7.48</v>
      </c>
      <c r="U56" s="91">
        <v>7.53</v>
      </c>
      <c r="V56" s="90">
        <v>7.59</v>
      </c>
      <c r="W56" s="90">
        <v>7.65</v>
      </c>
      <c r="X56" s="90">
        <v>7.7</v>
      </c>
      <c r="Y56" s="90">
        <v>7.76</v>
      </c>
      <c r="Z56" s="90">
        <v>7.81</v>
      </c>
      <c r="AA56" s="90">
        <v>7.87</v>
      </c>
      <c r="AB56" s="90">
        <v>7.93</v>
      </c>
      <c r="AC56" s="90">
        <v>7.98</v>
      </c>
      <c r="AD56" s="90">
        <v>8.0399999999999991</v>
      </c>
      <c r="AE56" s="90">
        <v>8.1</v>
      </c>
      <c r="AF56" s="90">
        <v>8.15</v>
      </c>
      <c r="AG56" s="90">
        <v>8.2100000000000009</v>
      </c>
      <c r="AH56" s="90">
        <v>8.26</v>
      </c>
      <c r="AI56" s="90">
        <v>8.32</v>
      </c>
      <c r="AJ56" s="90">
        <v>8.3800000000000008</v>
      </c>
      <c r="AK56" s="90">
        <v>8.43</v>
      </c>
      <c r="AL56" s="90">
        <v>8.49</v>
      </c>
      <c r="AM56" s="90">
        <v>8.5399999999999991</v>
      </c>
      <c r="AN56" s="90">
        <v>8.6</v>
      </c>
      <c r="AO56" s="91">
        <v>8.66</v>
      </c>
      <c r="AP56" s="90">
        <v>8.7125769230769308</v>
      </c>
      <c r="AQ56" s="90">
        <v>8.7686782363977507</v>
      </c>
      <c r="AR56" s="90">
        <v>8.8247795497185706</v>
      </c>
      <c r="AS56" s="90">
        <v>8.8808808630393994</v>
      </c>
      <c r="AT56" s="90">
        <v>8.9369821763602193</v>
      </c>
      <c r="AU56" s="90">
        <v>8.9930834896810605</v>
      </c>
      <c r="AV56" s="90">
        <v>9.0491848030018804</v>
      </c>
      <c r="AW56" s="90">
        <v>9.1052861163227092</v>
      </c>
      <c r="AX56" s="90">
        <v>9.1613874296435291</v>
      </c>
      <c r="AY56" s="90">
        <v>9.2174887429643597</v>
      </c>
      <c r="AZ56" s="90">
        <v>9.2735900562851796</v>
      </c>
      <c r="BA56" s="90">
        <v>9.3296913696059995</v>
      </c>
      <c r="BB56" s="90">
        <v>9.3857926829268408</v>
      </c>
      <c r="BC56" s="90">
        <v>9.4418939962476607</v>
      </c>
      <c r="BD56" s="90">
        <v>9.4979953095684806</v>
      </c>
      <c r="BE56" s="90">
        <v>9.5540966228893005</v>
      </c>
      <c r="BF56" s="90">
        <v>9.6101979362101293</v>
      </c>
      <c r="BG56" s="90">
        <v>9.6662992495309492</v>
      </c>
      <c r="BH56" s="90">
        <v>9.7224005628517904</v>
      </c>
      <c r="BI56" s="91">
        <v>9.7785018761726192</v>
      </c>
      <c r="BJ56" s="90">
        <v>9.8346031894934391</v>
      </c>
      <c r="BK56" s="99">
        <v>9.8907045028142697</v>
      </c>
      <c r="BL56" s="99">
        <v>9.9468058161350896</v>
      </c>
      <c r="BM56" s="99">
        <v>10.002907129455901</v>
      </c>
      <c r="BN56" s="99">
        <v>10.059008442776699</v>
      </c>
      <c r="BO56" s="99">
        <v>10.115109756097601</v>
      </c>
      <c r="BP56" s="99">
        <v>10.171211069418399</v>
      </c>
      <c r="BQ56" s="99">
        <v>10.2273123827392</v>
      </c>
      <c r="BR56" s="99">
        <v>10.28341369606</v>
      </c>
      <c r="BS56" s="99">
        <v>10.3395150093809</v>
      </c>
      <c r="BT56" s="99">
        <v>10.3956163227017</v>
      </c>
      <c r="BU56" s="99">
        <v>10.451717636022501</v>
      </c>
      <c r="BV56" s="99">
        <v>10.507818949343299</v>
      </c>
      <c r="BW56" s="99">
        <v>10.563920262664199</v>
      </c>
      <c r="BX56" s="99">
        <v>10.620021575985</v>
      </c>
      <c r="BY56" s="99">
        <v>10.6761228893058</v>
      </c>
      <c r="BZ56" s="99">
        <v>10.7322242026266</v>
      </c>
      <c r="CA56" s="99">
        <v>10.7883255159475</v>
      </c>
      <c r="CB56" s="99">
        <v>10.844426829268301</v>
      </c>
      <c r="CC56" s="99">
        <v>10.900528142589099</v>
      </c>
      <c r="CD56" s="99">
        <v>10.9566294559099</v>
      </c>
      <c r="CE56" s="99">
        <v>11.012730769230799</v>
      </c>
      <c r="CF56" s="99">
        <v>11.0688320825516</v>
      </c>
      <c r="CG56" s="99">
        <v>11.1249333958724</v>
      </c>
      <c r="CH56" s="99">
        <v>11.181034709193201</v>
      </c>
      <c r="CI56" s="99">
        <v>11.2371360225141</v>
      </c>
      <c r="CJ56" s="99">
        <v>11.293237335834901</v>
      </c>
      <c r="CK56" s="99">
        <v>11.349338649155699</v>
      </c>
      <c r="CL56" s="99">
        <v>11.405439962476599</v>
      </c>
      <c r="CM56" s="99">
        <v>11.4615412757974</v>
      </c>
      <c r="CN56" s="99">
        <v>11.5176425891182</v>
      </c>
      <c r="CO56" s="99">
        <v>11.573743902439</v>
      </c>
      <c r="CP56" s="99">
        <v>11.6298452157599</v>
      </c>
      <c r="CQ56" s="99">
        <v>11.685946529080701</v>
      </c>
      <c r="CR56" s="99">
        <v>11.742047842401499</v>
      </c>
      <c r="CS56" s="99">
        <v>11.798149155722299</v>
      </c>
      <c r="CT56" s="99">
        <v>11.854250469043199</v>
      </c>
      <c r="CU56" s="99">
        <v>11.910351782364</v>
      </c>
      <c r="CV56" s="99">
        <v>11.9664530956848</v>
      </c>
      <c r="CW56" s="99">
        <v>12.0225544090056</v>
      </c>
      <c r="CX56" s="99">
        <v>12.0786557223265</v>
      </c>
      <c r="CY56" s="99">
        <v>12.134757035647301</v>
      </c>
      <c r="CZ56" s="99">
        <v>12.190858348968099</v>
      </c>
      <c r="DA56" s="99">
        <v>12.2469596622889</v>
      </c>
      <c r="DB56" s="99">
        <v>12.303060975609799</v>
      </c>
      <c r="DC56" s="99">
        <v>12.3591622889306</v>
      </c>
      <c r="DD56" s="99">
        <v>12.4152636022514</v>
      </c>
      <c r="DE56" s="99">
        <v>12.471364915572201</v>
      </c>
      <c r="DF56" s="99">
        <v>12.5274662288931</v>
      </c>
      <c r="DG56" s="99">
        <v>12.583567542213901</v>
      </c>
      <c r="DH56" s="99">
        <v>12.639668855534699</v>
      </c>
      <c r="DI56" s="99">
        <v>12.6957701688555</v>
      </c>
      <c r="DJ56" s="99">
        <v>12.7518714821764</v>
      </c>
      <c r="DK56" s="99">
        <v>12.8079727954972</v>
      </c>
      <c r="DL56" s="99">
        <v>12.864074108818</v>
      </c>
      <c r="DM56" s="99">
        <v>12.920175422138801</v>
      </c>
      <c r="DN56" s="99">
        <v>12.976276735459701</v>
      </c>
      <c r="DO56" s="99">
        <v>13.032378048780499</v>
      </c>
      <c r="DP56" s="99">
        <v>13.0884793621013</v>
      </c>
      <c r="DQ56" s="99">
        <v>13.1445806754221</v>
      </c>
      <c r="DR56" s="99">
        <v>13.200681988743</v>
      </c>
      <c r="DS56" s="99">
        <v>13.2567833020638</v>
      </c>
      <c r="DT56" s="99">
        <v>13.312884615384601</v>
      </c>
      <c r="DU56" s="99">
        <v>13.368985928705399</v>
      </c>
      <c r="DV56" s="99">
        <v>13.425087242026301</v>
      </c>
      <c r="DW56" s="99">
        <v>13.481188555347099</v>
      </c>
      <c r="DX56" s="99">
        <v>13.5372898686679</v>
      </c>
      <c r="DY56" s="99">
        <v>13.5933911819887</v>
      </c>
      <c r="DZ56" s="99">
        <v>13.6494924953096</v>
      </c>
      <c r="EA56" s="99">
        <v>13.7055938086304</v>
      </c>
      <c r="EB56" s="99">
        <v>13.761695121951201</v>
      </c>
      <c r="EC56" s="99">
        <v>13.817796435271999</v>
      </c>
      <c r="ED56" s="99">
        <v>13.873897748592899</v>
      </c>
      <c r="EE56" s="99">
        <v>13.9299990619137</v>
      </c>
      <c r="EF56" s="99">
        <v>13.9861003752345</v>
      </c>
      <c r="EG56" s="99">
        <v>14.0422016885553</v>
      </c>
      <c r="EH56" s="99">
        <v>14.0983030018762</v>
      </c>
      <c r="EI56" s="99">
        <v>14.154404315197</v>
      </c>
      <c r="EJ56" s="99">
        <v>14.210505628517801</v>
      </c>
      <c r="EK56" s="99">
        <v>14.266606941838701</v>
      </c>
      <c r="EL56" s="99">
        <v>14.322708255159499</v>
      </c>
      <c r="EM56" s="99">
        <v>14.3788095684803</v>
      </c>
      <c r="EN56" s="99">
        <v>14.4349108818011</v>
      </c>
      <c r="EO56" s="99">
        <v>14.491012195122</v>
      </c>
      <c r="EP56" s="99">
        <v>14.5471135084428</v>
      </c>
      <c r="EQ56" s="99">
        <v>14.603214821763601</v>
      </c>
      <c r="ER56" s="99">
        <v>14.659316135084399</v>
      </c>
      <c r="ES56" s="99">
        <v>14.715417448405301</v>
      </c>
      <c r="ET56" s="99">
        <v>14.771518761726099</v>
      </c>
      <c r="EU56" s="99">
        <v>14.8276200750469</v>
      </c>
      <c r="EV56" s="99">
        <v>14.8837213883677</v>
      </c>
      <c r="EW56" s="99">
        <v>14.9398227016886</v>
      </c>
      <c r="EX56" s="99">
        <v>14.9959240150094</v>
      </c>
      <c r="EY56" s="99">
        <v>15.052025328330201</v>
      </c>
      <c r="EZ56" s="99">
        <v>15.108126641650999</v>
      </c>
      <c r="FA56" s="99">
        <v>15.164227954971899</v>
      </c>
      <c r="FB56" s="99">
        <v>15.2203292682927</v>
      </c>
      <c r="FC56" s="99">
        <v>15.2764305816135</v>
      </c>
      <c r="FD56" s="99">
        <v>15.3325318949343</v>
      </c>
      <c r="FE56" s="99">
        <v>15.3886332082552</v>
      </c>
      <c r="FF56" s="99">
        <v>15.444734521576001</v>
      </c>
      <c r="FG56" s="99">
        <v>15.500835834896799</v>
      </c>
      <c r="FH56" s="99">
        <v>15.5569371482176</v>
      </c>
      <c r="FI56" s="99">
        <v>15.613038461538499</v>
      </c>
      <c r="FJ56" s="99">
        <v>15.6691397748593</v>
      </c>
      <c r="FK56" s="99">
        <v>15.7252410881801</v>
      </c>
      <c r="FL56" s="99">
        <v>15.781342401500901</v>
      </c>
      <c r="FM56" s="99">
        <v>15.8374437148218</v>
      </c>
      <c r="FN56" s="99">
        <v>15.893545028142601</v>
      </c>
      <c r="FO56" s="99">
        <v>15.949646341463399</v>
      </c>
      <c r="FP56" s="99">
        <v>16.005747654784201</v>
      </c>
      <c r="FQ56" s="99">
        <v>16.0618489681051</v>
      </c>
      <c r="FR56" s="99">
        <v>16.117950281425902</v>
      </c>
      <c r="FS56" s="99">
        <v>16.1740515947467</v>
      </c>
      <c r="FT56" s="99">
        <v>16.230152908067499</v>
      </c>
      <c r="FU56" s="99">
        <v>16.286254221388401</v>
      </c>
      <c r="FV56" s="99">
        <v>16.342355534709199</v>
      </c>
      <c r="FW56" s="99">
        <v>16.398456848030001</v>
      </c>
      <c r="FX56" s="99">
        <v>16.4545581613508</v>
      </c>
      <c r="FY56" s="99">
        <v>16.510659474671701</v>
      </c>
      <c r="FZ56" s="99">
        <v>16.5667607879925</v>
      </c>
      <c r="GA56" s="99">
        <v>16.622862101313299</v>
      </c>
      <c r="GB56" s="99">
        <v>16.678963414634101</v>
      </c>
      <c r="GC56" s="99">
        <v>16.735064727954999</v>
      </c>
      <c r="GD56" s="99">
        <v>16.791166041275801</v>
      </c>
      <c r="GE56" s="99">
        <v>16.8472673545966</v>
      </c>
      <c r="GF56" s="99">
        <v>16.903368667917398</v>
      </c>
      <c r="GG56" s="99">
        <v>16.9594699812383</v>
      </c>
      <c r="GH56" s="99">
        <v>17.015571294559098</v>
      </c>
      <c r="GI56" s="99">
        <v>17.071672607879901</v>
      </c>
      <c r="GJ56" s="99">
        <v>17.127773921200699</v>
      </c>
      <c r="GK56" s="99">
        <v>17.183875234521601</v>
      </c>
      <c r="GL56" s="99">
        <v>17.239976547842399</v>
      </c>
      <c r="GM56" s="99">
        <v>17.296077861163202</v>
      </c>
      <c r="GN56" s="99">
        <v>17.3521791744841</v>
      </c>
      <c r="GO56" s="99">
        <v>17.408280487804898</v>
      </c>
      <c r="GP56" s="99">
        <v>17.4643818011257</v>
      </c>
      <c r="GQ56" s="99">
        <v>17.520483114446499</v>
      </c>
      <c r="GR56" s="99">
        <v>17.576584427767401</v>
      </c>
      <c r="GS56" s="99">
        <v>17.632685741088199</v>
      </c>
      <c r="GT56" s="99">
        <v>17.688787054409001</v>
      </c>
      <c r="GU56" s="99">
        <v>17.7448883677298</v>
      </c>
      <c r="GV56" s="99">
        <v>17.800989681050702</v>
      </c>
      <c r="GW56" s="99">
        <v>17.8570909943715</v>
      </c>
      <c r="GX56" s="99">
        <v>17.913192307692299</v>
      </c>
      <c r="GY56" s="99">
        <v>17.969293621013101</v>
      </c>
      <c r="GZ56" s="99">
        <v>18.025394934333999</v>
      </c>
      <c r="HA56" s="99">
        <v>18.081496247654801</v>
      </c>
      <c r="HB56" s="99">
        <v>18.1375975609756</v>
      </c>
      <c r="HC56" s="99">
        <v>18.193698874296398</v>
      </c>
      <c r="HD56" s="99">
        <v>18.2498001876173</v>
      </c>
      <c r="HE56" s="99">
        <v>18.305901500938099</v>
      </c>
      <c r="HF56" s="99">
        <v>18.362002814258901</v>
      </c>
      <c r="HG56" s="99">
        <v>18.418104127579699</v>
      </c>
      <c r="HH56" s="99">
        <v>18.474205440900601</v>
      </c>
      <c r="HI56" s="99">
        <v>18.5303067542214</v>
      </c>
      <c r="HJ56" s="99">
        <v>18.586408067542202</v>
      </c>
      <c r="HK56" s="99">
        <v>18.642509380863</v>
      </c>
      <c r="HL56" s="99">
        <v>18.698610694183898</v>
      </c>
      <c r="HM56" s="99">
        <v>18.7547120075047</v>
      </c>
      <c r="HN56" s="99">
        <v>18.810813320825499</v>
      </c>
      <c r="HO56" s="99">
        <v>18.866914634146301</v>
      </c>
      <c r="HP56" s="99">
        <v>18.923015947467199</v>
      </c>
      <c r="HQ56" s="99">
        <v>18.979117260788001</v>
      </c>
      <c r="HR56" s="99">
        <v>19.0352185741088</v>
      </c>
      <c r="HS56" s="99">
        <v>19.091319887429599</v>
      </c>
      <c r="HT56" s="99">
        <v>19.1474212007505</v>
      </c>
      <c r="HU56" s="99">
        <v>19.203522514071299</v>
      </c>
      <c r="HV56" s="99">
        <v>19.259623827392101</v>
      </c>
      <c r="HW56" s="99">
        <v>19.3157251407129</v>
      </c>
      <c r="HX56" s="99">
        <v>19.371826454033801</v>
      </c>
      <c r="HY56" s="99">
        <v>19.4279277673546</v>
      </c>
      <c r="HZ56" s="99">
        <v>19.484029080675398</v>
      </c>
      <c r="IA56" s="99">
        <v>19.540130393996201</v>
      </c>
      <c r="IB56" s="99">
        <v>19.596231707317099</v>
      </c>
      <c r="IC56" s="99">
        <v>19.652333020637901</v>
      </c>
      <c r="ID56" s="99">
        <v>19.708434333958699</v>
      </c>
      <c r="IE56" s="99">
        <v>19.764535647279502</v>
      </c>
      <c r="IF56" s="99">
        <v>19.8206369606004</v>
      </c>
      <c r="IG56" s="99">
        <v>19.876738273921202</v>
      </c>
      <c r="IH56" s="99">
        <v>19.932839587242</v>
      </c>
      <c r="II56" s="99">
        <v>19.988940900562898</v>
      </c>
      <c r="IJ56" s="99">
        <v>20.045042213883701</v>
      </c>
      <c r="IK56" s="99">
        <v>20.101143527204499</v>
      </c>
      <c r="IL56" s="99">
        <v>20.157244840525301</v>
      </c>
      <c r="IM56" s="99">
        <v>20.213346153846199</v>
      </c>
      <c r="IN56" s="99">
        <v>20.269447467167002</v>
      </c>
      <c r="IO56" s="99">
        <v>20.3255487804878</v>
      </c>
      <c r="IP56" s="99">
        <v>20.381650093808599</v>
      </c>
      <c r="IQ56" s="99">
        <v>20.4377514071295</v>
      </c>
      <c r="IR56" s="99">
        <v>20.493852720450299</v>
      </c>
      <c r="IS56" s="99">
        <v>20.549954033771101</v>
      </c>
      <c r="IT56" s="99">
        <v>20.6060553470919</v>
      </c>
      <c r="IU56" s="99">
        <v>20.662156660412801</v>
      </c>
      <c r="IV56" s="99">
        <v>20.7182579737336</v>
      </c>
      <c r="IW56" s="99">
        <v>20.774359287054398</v>
      </c>
      <c r="IX56" s="99">
        <v>20.830460600375201</v>
      </c>
      <c r="IY56" s="99">
        <v>20.886561913696099</v>
      </c>
      <c r="IZ56" s="99">
        <v>20.942663227016901</v>
      </c>
      <c r="JA56" s="99">
        <v>20.998764540337699</v>
      </c>
      <c r="JB56" s="99">
        <v>21.054865853658502</v>
      </c>
      <c r="JC56" s="99">
        <v>21.1109671669794</v>
      </c>
      <c r="JD56" s="99">
        <v>21.167068480300198</v>
      </c>
      <c r="JE56" s="99">
        <v>21.223169793621</v>
      </c>
      <c r="JF56" s="99">
        <v>21.279271106941799</v>
      </c>
      <c r="JG56" s="99">
        <v>21.335372420262701</v>
      </c>
      <c r="JH56" s="99">
        <v>21.391473733583499</v>
      </c>
      <c r="JI56" s="99">
        <v>21.447575046904301</v>
      </c>
      <c r="JJ56" s="99">
        <v>21.5036763602251</v>
      </c>
      <c r="JK56" s="99">
        <v>21.559777673546002</v>
      </c>
      <c r="JL56" s="99">
        <v>21.6158789868668</v>
      </c>
      <c r="JM56" s="99">
        <v>21.671980300187599</v>
      </c>
      <c r="JN56" s="99">
        <v>21.728081613508401</v>
      </c>
      <c r="JO56" s="99">
        <v>21.784182926829299</v>
      </c>
      <c r="JP56" s="99">
        <v>21.840284240150101</v>
      </c>
      <c r="JQ56" s="99">
        <v>21.8963855534709</v>
      </c>
      <c r="JR56" s="99">
        <v>21.952486866791698</v>
      </c>
      <c r="JS56" s="99">
        <v>22.0085881801126</v>
      </c>
      <c r="JT56" s="99">
        <v>22.064689493433399</v>
      </c>
      <c r="JU56" s="99">
        <v>22.120790806754201</v>
      </c>
      <c r="JV56" s="99">
        <v>22.176892120074999</v>
      </c>
      <c r="JW56" s="99">
        <v>22.232993433395901</v>
      </c>
      <c r="JX56" s="99">
        <v>22.2890947467167</v>
      </c>
      <c r="JY56" s="99">
        <v>22.345196060037502</v>
      </c>
      <c r="JZ56" s="99">
        <v>22.4012973733583</v>
      </c>
      <c r="KA56" s="99">
        <v>22.457398686679198</v>
      </c>
      <c r="KB56" s="99">
        <v>22.513500000000001</v>
      </c>
      <c r="KC56" s="99">
        <v>22.569601313320799</v>
      </c>
      <c r="KD56" s="99">
        <v>22.625702626641601</v>
      </c>
      <c r="KE56" s="99">
        <v>22.681803939962499</v>
      </c>
      <c r="KF56" s="99">
        <v>22.737905253283301</v>
      </c>
      <c r="KG56" s="99">
        <v>22.7940065666041</v>
      </c>
      <c r="KH56" s="99">
        <v>22.850107879925002</v>
      </c>
      <c r="KI56" s="99">
        <v>22.9062091932458</v>
      </c>
      <c r="KJ56" s="99">
        <v>22.962310506566599</v>
      </c>
      <c r="KK56" s="99">
        <v>23.018411819887401</v>
      </c>
      <c r="KL56" s="99">
        <v>23.074513133208299</v>
      </c>
      <c r="KM56" s="99">
        <v>23.130614446529101</v>
      </c>
      <c r="KN56" s="99">
        <v>23.1867157598499</v>
      </c>
      <c r="KO56" s="99">
        <v>23.242817073170698</v>
      </c>
      <c r="KP56" s="99">
        <v>23.2989183864916</v>
      </c>
      <c r="KQ56" s="99">
        <v>23.355019699812399</v>
      </c>
      <c r="KR56" s="99">
        <v>23.411121013133201</v>
      </c>
      <c r="KS56" s="99">
        <v>23.467222326453999</v>
      </c>
      <c r="KT56" s="99">
        <v>23.523323639774901</v>
      </c>
      <c r="KU56" s="99">
        <v>23.5794249530957</v>
      </c>
      <c r="KV56" s="99">
        <v>23.635526266416498</v>
      </c>
      <c r="KW56" s="99">
        <v>23.6916275797373</v>
      </c>
      <c r="KX56" s="99">
        <v>23.747728893058198</v>
      </c>
      <c r="KY56" s="99">
        <v>23.803830206379001</v>
      </c>
      <c r="KZ56" s="99">
        <v>23.859931519699799</v>
      </c>
      <c r="LA56" s="99">
        <v>23.916032833020601</v>
      </c>
      <c r="LB56" s="99">
        <v>23.972134146341499</v>
      </c>
      <c r="LC56" s="99">
        <v>24.028235459662302</v>
      </c>
      <c r="LD56" s="99">
        <v>24.0843367729831</v>
      </c>
      <c r="LE56" s="99">
        <v>24.140438086303899</v>
      </c>
      <c r="LF56" s="99">
        <v>24.1965393996248</v>
      </c>
      <c r="LG56" s="99">
        <v>24.252640712945599</v>
      </c>
      <c r="LH56" s="99">
        <v>24.308742026266401</v>
      </c>
      <c r="LI56" s="99">
        <v>24.3648433395872</v>
      </c>
      <c r="LJ56" s="99">
        <v>24.420944652908101</v>
      </c>
      <c r="LK56" s="99">
        <v>24.4770459662289</v>
      </c>
      <c r="LL56" s="99">
        <v>24.533147279549699</v>
      </c>
      <c r="LM56" s="99">
        <v>24.589248592870501</v>
      </c>
      <c r="LN56" s="99">
        <v>24.645349906191399</v>
      </c>
      <c r="LO56" s="99">
        <v>24.701451219512201</v>
      </c>
      <c r="LP56" s="99">
        <v>24.757552532833</v>
      </c>
      <c r="LQ56" s="99">
        <v>24.813653846153802</v>
      </c>
      <c r="LR56" s="99">
        <v>24.8697551594747</v>
      </c>
      <c r="LS56" s="99">
        <v>24.925856472795498</v>
      </c>
      <c r="LT56" s="99">
        <v>24.9819577861163</v>
      </c>
      <c r="LU56" s="99">
        <v>25.038059099437099</v>
      </c>
      <c r="LV56" s="99">
        <v>25.094160412758001</v>
      </c>
      <c r="LW56" s="99">
        <v>25.150261726078799</v>
      </c>
      <c r="LX56" s="99">
        <v>25.206363039399601</v>
      </c>
      <c r="LY56" s="99">
        <v>25.2624643527204</v>
      </c>
      <c r="LZ56" s="99">
        <v>25.318565666041302</v>
      </c>
      <c r="MA56" s="99">
        <v>25.3746669793621</v>
      </c>
      <c r="MB56" s="99">
        <v>25.430768292682899</v>
      </c>
      <c r="MC56" s="99">
        <v>25.4868696060038</v>
      </c>
      <c r="MD56" s="99">
        <v>25.542970919324599</v>
      </c>
      <c r="ME56" s="99">
        <v>25.599072232645401</v>
      </c>
      <c r="MF56" s="99">
        <v>25.6551735459662</v>
      </c>
      <c r="MG56" s="99">
        <v>25.711274859287101</v>
      </c>
      <c r="MH56" s="99">
        <v>25.7673761726079</v>
      </c>
      <c r="MI56" s="99">
        <v>25.823477485928699</v>
      </c>
      <c r="MJ56" s="99">
        <v>25.879578799249501</v>
      </c>
      <c r="MK56" s="99">
        <v>25.935680112570399</v>
      </c>
      <c r="ML56" s="99">
        <v>25.991781425891201</v>
      </c>
      <c r="MM56" s="99">
        <v>26.047882739212</v>
      </c>
      <c r="MN56" s="99">
        <v>26.103984052532802</v>
      </c>
      <c r="MO56" s="99">
        <v>26.1600853658537</v>
      </c>
      <c r="MP56" s="99">
        <v>26.216186679174498</v>
      </c>
      <c r="MQ56" s="99">
        <v>26.272287992495301</v>
      </c>
      <c r="MR56" s="99">
        <v>26.328389305816099</v>
      </c>
      <c r="MS56" s="99">
        <v>26.384490619137001</v>
      </c>
      <c r="MT56" s="99">
        <v>26.440591932457799</v>
      </c>
      <c r="MU56" s="99">
        <v>26.496693245778602</v>
      </c>
      <c r="MV56" s="99">
        <v>26.5527945590994</v>
      </c>
      <c r="MW56" s="99">
        <v>26.608895872420302</v>
      </c>
      <c r="MX56" s="99">
        <v>26.6649971857411</v>
      </c>
      <c r="MY56" s="99">
        <v>26.721098499061899</v>
      </c>
      <c r="MZ56" s="99">
        <v>26.777199812382701</v>
      </c>
      <c r="NA56" s="99">
        <v>26.833301125703599</v>
      </c>
      <c r="NB56" s="99">
        <v>26.889402439024401</v>
      </c>
      <c r="NC56" s="99">
        <v>26.9455037523452</v>
      </c>
      <c r="ND56" s="99">
        <v>27.001605065665998</v>
      </c>
      <c r="NE56" s="99">
        <v>27.0577063789869</v>
      </c>
      <c r="NF56" s="99">
        <v>27.113807692307699</v>
      </c>
      <c r="NG56" s="99">
        <v>27.169909005628501</v>
      </c>
      <c r="NH56" s="99">
        <v>27.226010318949299</v>
      </c>
      <c r="NI56" s="99">
        <v>27.282111632270201</v>
      </c>
      <c r="NJ56" s="99">
        <v>27.338212945591</v>
      </c>
      <c r="NK56" s="99">
        <v>27.394314258911798</v>
      </c>
      <c r="NL56" s="99">
        <v>27.4504155722326</v>
      </c>
      <c r="NM56" s="99">
        <v>27.506516885553498</v>
      </c>
      <c r="NN56" s="99">
        <v>27.562618198874301</v>
      </c>
      <c r="NO56" s="99">
        <v>27.618719512195099</v>
      </c>
      <c r="NP56" s="99">
        <v>27.674820825515901</v>
      </c>
      <c r="NQ56" s="99">
        <v>27.730922138836799</v>
      </c>
      <c r="NR56" s="99">
        <v>27.787023452157602</v>
      </c>
      <c r="NS56" s="99">
        <v>27.8431247654784</v>
      </c>
      <c r="NT56" s="99">
        <v>27.899226078799199</v>
      </c>
      <c r="NU56" s="99">
        <v>27.9553273921201</v>
      </c>
      <c r="NV56" s="99">
        <v>28.011428705440899</v>
      </c>
      <c r="NW56" s="99">
        <v>28.067530018761701</v>
      </c>
      <c r="NX56" s="99">
        <v>28.1236313320825</v>
      </c>
      <c r="NY56" s="99">
        <v>28.179732645403401</v>
      </c>
      <c r="NZ56" s="99">
        <v>28.2358339587242</v>
      </c>
      <c r="OA56" s="99">
        <v>28.291935272044999</v>
      </c>
      <c r="OB56" s="99">
        <v>28.3480365853659</v>
      </c>
      <c r="OC56" s="99">
        <v>28.404137898686699</v>
      </c>
      <c r="OD56" s="99">
        <v>28.460239212007501</v>
      </c>
      <c r="OE56" s="99">
        <v>28.5163405253283</v>
      </c>
      <c r="OF56" s="99">
        <v>28.572441838649201</v>
      </c>
      <c r="OG56" s="99">
        <v>28.62854315197</v>
      </c>
      <c r="OH56" s="99">
        <v>28.684644465290798</v>
      </c>
      <c r="OI56" s="99">
        <v>28.740745778611601</v>
      </c>
      <c r="OJ56" s="99">
        <v>28.796847091932499</v>
      </c>
      <c r="OK56" s="99">
        <v>28.852948405253301</v>
      </c>
      <c r="OL56" s="99">
        <v>28.909049718574099</v>
      </c>
      <c r="OM56" s="99">
        <v>28.965151031894901</v>
      </c>
      <c r="ON56" s="99">
        <v>29.0212523452158</v>
      </c>
      <c r="OO56" s="99">
        <v>29.077353658536602</v>
      </c>
      <c r="OP56" s="99">
        <v>29.1334549718574</v>
      </c>
      <c r="OQ56" s="99">
        <v>29.189556285178199</v>
      </c>
      <c r="OR56" s="99">
        <v>29.245657598499101</v>
      </c>
      <c r="OS56" s="99">
        <v>29.301758911819899</v>
      </c>
      <c r="OT56" s="99">
        <v>29.357860225140701</v>
      </c>
      <c r="OU56" s="99">
        <v>29.4139615384615</v>
      </c>
      <c r="OV56" s="99">
        <v>29.470062851782401</v>
      </c>
      <c r="OW56" s="99">
        <v>29.5261641651032</v>
      </c>
      <c r="OX56" s="99">
        <v>29.582265478423999</v>
      </c>
      <c r="OY56" s="99">
        <v>29.638366791744801</v>
      </c>
      <c r="OZ56" s="99">
        <v>29.694468105065699</v>
      </c>
      <c r="PA56" s="99">
        <v>29.750569418386501</v>
      </c>
      <c r="PB56" s="99">
        <v>29.8066707317073</v>
      </c>
      <c r="PC56" s="99">
        <v>29.862772045028098</v>
      </c>
      <c r="PD56" s="99">
        <v>29.918873358349</v>
      </c>
      <c r="PE56" s="99">
        <v>29.974974671669798</v>
      </c>
      <c r="PF56" s="99">
        <v>30.031075984990601</v>
      </c>
      <c r="PG56" s="99">
        <v>30.087177298311399</v>
      </c>
      <c r="PH56" s="99">
        <v>30.143278611632301</v>
      </c>
      <c r="PI56" s="99">
        <v>30.199379924953099</v>
      </c>
      <c r="PJ56" s="99">
        <v>30.255481238273902</v>
      </c>
      <c r="PK56" s="99">
        <v>30.3115825515947</v>
      </c>
      <c r="PL56" s="99">
        <v>30.367683864915598</v>
      </c>
      <c r="PM56" s="99">
        <v>30.4237851782364</v>
      </c>
      <c r="PN56" s="99">
        <v>30.479886491557199</v>
      </c>
      <c r="PO56" s="99">
        <v>30.535987804878001</v>
      </c>
      <c r="PP56" s="99">
        <v>30.592089118198899</v>
      </c>
      <c r="PQ56" s="99">
        <v>30.648190431519701</v>
      </c>
      <c r="PR56" s="99">
        <v>30.7042917448405</v>
      </c>
      <c r="PS56" s="99">
        <v>30.760393058161299</v>
      </c>
      <c r="PT56" s="99">
        <v>30.8164943714822</v>
      </c>
      <c r="PU56" s="99">
        <v>30.872595684802999</v>
      </c>
      <c r="PV56" s="99">
        <v>30.928696998123801</v>
      </c>
      <c r="PW56" s="99">
        <v>30.984798311444699</v>
      </c>
      <c r="PX56" s="99">
        <v>31.040899624765501</v>
      </c>
      <c r="PY56" s="99">
        <v>31.0970009380863</v>
      </c>
      <c r="PZ56" s="99">
        <v>31.153102251407098</v>
      </c>
      <c r="QA56" s="99">
        <v>31.209203564728</v>
      </c>
      <c r="QB56" s="99">
        <v>31.265304878048799</v>
      </c>
      <c r="QC56" s="99">
        <v>31.321406191369601</v>
      </c>
      <c r="QD56" s="99">
        <v>31.377507504690399</v>
      </c>
      <c r="QE56" s="99">
        <v>31.433608818011301</v>
      </c>
      <c r="QF56" s="99">
        <v>31.4897101313321</v>
      </c>
      <c r="QG56" s="99">
        <v>31.545811444652902</v>
      </c>
      <c r="QH56" s="99">
        <v>31.6019127579737</v>
      </c>
      <c r="QI56" s="99">
        <v>31.658014071294598</v>
      </c>
      <c r="QJ56" s="99">
        <v>31.7141153846154</v>
      </c>
      <c r="QK56" s="99">
        <v>31.770216697936199</v>
      </c>
      <c r="QL56" s="99">
        <v>31.826318011257001</v>
      </c>
      <c r="QM56" s="99">
        <v>31.882419324577899</v>
      </c>
      <c r="QN56" s="99">
        <v>31.938520637898701</v>
      </c>
      <c r="QO56" s="99">
        <v>31.9946219512195</v>
      </c>
      <c r="QP56" s="99">
        <v>32.050723264540302</v>
      </c>
      <c r="QQ56" s="99">
        <v>32.106824577861197</v>
      </c>
      <c r="QR56" s="99">
        <v>32.162925891181999</v>
      </c>
      <c r="QS56" s="99">
        <v>32.219027204502801</v>
      </c>
      <c r="QT56" s="99">
        <v>32.275128517823603</v>
      </c>
      <c r="QU56" s="99">
        <v>32.331229831144498</v>
      </c>
      <c r="QV56" s="99">
        <v>32.3873311444653</v>
      </c>
      <c r="QW56" s="99">
        <v>32.443432457786102</v>
      </c>
      <c r="QX56" s="99">
        <v>32.499533771106897</v>
      </c>
      <c r="QY56" s="99">
        <v>32.555635084427799</v>
      </c>
      <c r="QZ56" s="99">
        <v>32.611736397748601</v>
      </c>
      <c r="RA56" s="99">
        <v>32.667837711069403</v>
      </c>
      <c r="RB56" s="99">
        <v>32.723939024390198</v>
      </c>
      <c r="RC56" s="99">
        <v>32.7800403377111</v>
      </c>
      <c r="RD56" s="99">
        <v>32.836141651031902</v>
      </c>
      <c r="RE56" s="99">
        <v>32.892242964352697</v>
      </c>
      <c r="RF56" s="99">
        <v>32.948344277673499</v>
      </c>
      <c r="RG56" s="99">
        <v>33.004445590994401</v>
      </c>
      <c r="RH56" s="99">
        <v>33.060546904315203</v>
      </c>
      <c r="RI56" s="99">
        <v>33.116648217635998</v>
      </c>
      <c r="RJ56" s="99">
        <v>33.1727495309568</v>
      </c>
      <c r="RK56" s="99">
        <v>33.228850844277702</v>
      </c>
      <c r="RL56" s="99">
        <v>33.284952157598497</v>
      </c>
      <c r="RM56" s="99">
        <v>33.341053470919299</v>
      </c>
      <c r="RN56" s="99">
        <v>33.3971547842402</v>
      </c>
      <c r="RO56" s="99">
        <v>33.453256097561002</v>
      </c>
      <c r="RP56" s="99">
        <v>33.509357410881798</v>
      </c>
      <c r="RQ56" s="99">
        <v>33.5654587242026</v>
      </c>
      <c r="RR56" s="99">
        <v>33.621560037523501</v>
      </c>
      <c r="RS56" s="99">
        <v>33.677661350844303</v>
      </c>
      <c r="RT56" s="99">
        <v>33.733762664165098</v>
      </c>
      <c r="RU56" s="99">
        <v>33.789863977485901</v>
      </c>
      <c r="RV56" s="99">
        <v>33.845965290806802</v>
      </c>
      <c r="RW56" s="99">
        <v>33.902066604127597</v>
      </c>
      <c r="RX56" s="99">
        <v>33.958167917448399</v>
      </c>
      <c r="RY56" s="99">
        <v>34.014269230769202</v>
      </c>
      <c r="RZ56" s="99">
        <v>34.070370544090103</v>
      </c>
      <c r="SA56" s="99">
        <v>34.126471857410898</v>
      </c>
      <c r="SB56" s="99">
        <v>34.1825731707317</v>
      </c>
      <c r="SC56" s="99">
        <v>34.238674484052503</v>
      </c>
      <c r="SD56" s="99">
        <v>34.294775797373397</v>
      </c>
      <c r="SE56" s="99">
        <v>34.350877110694199</v>
      </c>
      <c r="SF56" s="99">
        <v>34.406978424015001</v>
      </c>
      <c r="SG56" s="99">
        <v>34.463079737335804</v>
      </c>
      <c r="SH56" s="99">
        <v>34.519181050656698</v>
      </c>
      <c r="SI56" s="99">
        <v>34.5752823639775</v>
      </c>
      <c r="SJ56" s="99">
        <v>34.631383677298302</v>
      </c>
      <c r="SK56" s="99">
        <v>34.687484990619097</v>
      </c>
      <c r="SL56" s="99">
        <v>34.743586303939999</v>
      </c>
      <c r="SM56" s="99">
        <v>34.799687617260801</v>
      </c>
      <c r="SN56" s="99">
        <v>34.855788930581603</v>
      </c>
      <c r="SO56" s="99">
        <v>34.911890243902398</v>
      </c>
      <c r="SP56" s="99">
        <v>34.9679915572233</v>
      </c>
      <c r="SQ56" s="99">
        <v>35.024092870544102</v>
      </c>
      <c r="SR56" s="99">
        <v>35.080194183864897</v>
      </c>
      <c r="SS56" s="99">
        <v>35.136295497185699</v>
      </c>
      <c r="ST56" s="99">
        <v>35.192396810506601</v>
      </c>
      <c r="SU56" s="99">
        <v>35.248498123827403</v>
      </c>
      <c r="SV56" s="99">
        <v>35.304599437148198</v>
      </c>
      <c r="SW56" s="99">
        <v>35.360700750469</v>
      </c>
      <c r="SX56" s="99">
        <v>35.416802063789902</v>
      </c>
      <c r="SY56" s="99">
        <v>35.472903377110697</v>
      </c>
      <c r="SZ56" s="99">
        <v>35.529004690431499</v>
      </c>
      <c r="TA56" s="99">
        <v>35.585106003752301</v>
      </c>
      <c r="TB56" s="99">
        <v>35.641207317073203</v>
      </c>
      <c r="TC56" s="99">
        <v>35.697308630393998</v>
      </c>
      <c r="TD56" s="99">
        <v>35.7534099437148</v>
      </c>
      <c r="TE56" s="99">
        <v>35.809511257035602</v>
      </c>
      <c r="TF56" s="99">
        <v>35.865612570356497</v>
      </c>
      <c r="TG56" s="99">
        <v>35.921713883677299</v>
      </c>
      <c r="TH56" s="99">
        <v>35.977815196998101</v>
      </c>
      <c r="TI56" s="99">
        <v>36.033916510318903</v>
      </c>
      <c r="TJ56" s="99">
        <v>36.090017823639798</v>
      </c>
      <c r="TK56" s="99">
        <v>36.1461191369606</v>
      </c>
      <c r="TL56" s="99">
        <v>36.202220450281402</v>
      </c>
      <c r="TM56" s="99">
        <v>36.258321763602297</v>
      </c>
      <c r="TN56" s="99">
        <v>36.314423076923099</v>
      </c>
      <c r="TO56" s="99">
        <v>36.370524390243901</v>
      </c>
      <c r="TP56" s="99">
        <v>36.426625703564703</v>
      </c>
      <c r="TQ56" s="99">
        <v>36.482727016885597</v>
      </c>
      <c r="TR56" s="99">
        <v>36.5388283302064</v>
      </c>
      <c r="TS56" s="99">
        <v>36.594929643527202</v>
      </c>
      <c r="TT56" s="99">
        <v>36.651030956847997</v>
      </c>
      <c r="TU56" s="99">
        <v>36.707132270168898</v>
      </c>
      <c r="TV56" s="99">
        <v>36.763233583489701</v>
      </c>
      <c r="TW56" s="99">
        <v>36.819334896810503</v>
      </c>
      <c r="TX56" s="99">
        <v>36.875436210131298</v>
      </c>
      <c r="TY56" s="99">
        <v>36.931537523452199</v>
      </c>
      <c r="TZ56" s="99">
        <v>36.987638836773002</v>
      </c>
      <c r="UA56" s="99">
        <v>37.043740150093797</v>
      </c>
      <c r="UB56" s="99">
        <v>37.099841463414599</v>
      </c>
      <c r="UC56" s="99">
        <v>37.1559427767355</v>
      </c>
      <c r="UD56" s="99">
        <v>37.212044090056303</v>
      </c>
      <c r="UE56" s="99">
        <v>37.268145403377098</v>
      </c>
      <c r="UF56" s="99">
        <v>37.3242467166979</v>
      </c>
      <c r="UG56" s="99">
        <v>37.380348030018801</v>
      </c>
      <c r="UH56" s="99">
        <v>37.436449343339604</v>
      </c>
      <c r="UI56" s="99">
        <v>37.492550656660399</v>
      </c>
      <c r="UJ56" s="99">
        <v>37.548651969981201</v>
      </c>
      <c r="UK56" s="99">
        <v>37.604753283302102</v>
      </c>
      <c r="UL56" s="99">
        <v>37.660854596622897</v>
      </c>
      <c r="UM56" s="99">
        <v>37.7169559099437</v>
      </c>
      <c r="UN56" s="99">
        <v>37.773057223264502</v>
      </c>
      <c r="UO56" s="99">
        <v>37.829158536585403</v>
      </c>
      <c r="UP56" s="99">
        <v>37.885259849906198</v>
      </c>
      <c r="UQ56" s="99">
        <v>37.941361163227</v>
      </c>
      <c r="UR56" s="99">
        <v>37.997462476547803</v>
      </c>
      <c r="US56" s="99">
        <v>38.053563789868697</v>
      </c>
      <c r="UT56" s="99">
        <v>38.109665103189499</v>
      </c>
    </row>
    <row r="57" spans="1:566" x14ac:dyDescent="0.2">
      <c r="A57" s="89">
        <v>25.5</v>
      </c>
      <c r="B57" s="90">
        <v>6.41</v>
      </c>
      <c r="C57" s="90">
        <v>6.46</v>
      </c>
      <c r="D57" s="90">
        <v>6.52</v>
      </c>
      <c r="E57" s="90">
        <v>6.57</v>
      </c>
      <c r="F57" s="90">
        <v>6.63</v>
      </c>
      <c r="G57" s="90">
        <v>6.69</v>
      </c>
      <c r="H57" s="90">
        <v>6.74</v>
      </c>
      <c r="I57" s="90">
        <v>6.8</v>
      </c>
      <c r="J57" s="90">
        <v>6.85</v>
      </c>
      <c r="K57" s="90">
        <v>6.91</v>
      </c>
      <c r="L57" s="90">
        <v>6.96</v>
      </c>
      <c r="M57" s="90">
        <v>7.02</v>
      </c>
      <c r="N57" s="90">
        <v>7.08</v>
      </c>
      <c r="O57" s="90">
        <v>7.13</v>
      </c>
      <c r="P57" s="90">
        <v>7.19</v>
      </c>
      <c r="Q57" s="90">
        <v>7.24</v>
      </c>
      <c r="R57" s="90">
        <v>7.3</v>
      </c>
      <c r="S57" s="90">
        <v>7.35</v>
      </c>
      <c r="T57" s="90">
        <v>7.41</v>
      </c>
      <c r="U57" s="91">
        <v>7.46</v>
      </c>
      <c r="V57" s="90">
        <v>7.52</v>
      </c>
      <c r="W57" s="90">
        <v>7.58</v>
      </c>
      <c r="X57" s="90">
        <v>7.63</v>
      </c>
      <c r="Y57" s="90">
        <v>7.69</v>
      </c>
      <c r="Z57" s="90">
        <v>7.74</v>
      </c>
      <c r="AA57" s="90">
        <v>7.8</v>
      </c>
      <c r="AB57" s="90">
        <v>7.85</v>
      </c>
      <c r="AC57" s="90">
        <v>7.91</v>
      </c>
      <c r="AD57" s="90">
        <v>7.97</v>
      </c>
      <c r="AE57" s="90">
        <v>8.02</v>
      </c>
      <c r="AF57" s="90">
        <v>8.08</v>
      </c>
      <c r="AG57" s="90">
        <v>8.1300000000000008</v>
      </c>
      <c r="AH57" s="90">
        <v>8.19</v>
      </c>
      <c r="AI57" s="90">
        <v>8.24</v>
      </c>
      <c r="AJ57" s="90">
        <v>8.3000000000000007</v>
      </c>
      <c r="AK57" s="90">
        <v>8.35</v>
      </c>
      <c r="AL57" s="90">
        <v>8.41</v>
      </c>
      <c r="AM57" s="90">
        <v>8.4700000000000006</v>
      </c>
      <c r="AN57" s="90">
        <v>8.52</v>
      </c>
      <c r="AO57" s="91">
        <v>8.58</v>
      </c>
      <c r="AP57" s="90">
        <v>8.6330769230769295</v>
      </c>
      <c r="AQ57" s="90">
        <v>8.6887148217636092</v>
      </c>
      <c r="AR57" s="90">
        <v>8.7443527204502907</v>
      </c>
      <c r="AS57" s="90">
        <v>8.7999906191369597</v>
      </c>
      <c r="AT57" s="90">
        <v>8.8556285178236394</v>
      </c>
      <c r="AU57" s="90">
        <v>8.9112664165103208</v>
      </c>
      <c r="AV57" s="90">
        <v>8.9669043151970005</v>
      </c>
      <c r="AW57" s="90">
        <v>9.0225422138836802</v>
      </c>
      <c r="AX57" s="90">
        <v>9.0781801125703598</v>
      </c>
      <c r="AY57" s="90">
        <v>9.1338180112570395</v>
      </c>
      <c r="AZ57" s="90">
        <v>9.1894559099437192</v>
      </c>
      <c r="BA57" s="90">
        <v>9.2450938086304006</v>
      </c>
      <c r="BB57" s="90">
        <v>9.3007317073170803</v>
      </c>
      <c r="BC57" s="90">
        <v>9.35636960600376</v>
      </c>
      <c r="BD57" s="90">
        <v>9.4120075046904397</v>
      </c>
      <c r="BE57" s="90">
        <v>9.4676454033771194</v>
      </c>
      <c r="BF57" s="90">
        <v>9.5232833020637901</v>
      </c>
      <c r="BG57" s="90">
        <v>9.5789212007504698</v>
      </c>
      <c r="BH57" s="90">
        <v>9.6345590994371495</v>
      </c>
      <c r="BI57" s="91">
        <v>9.6901969981238292</v>
      </c>
      <c r="BJ57" s="90">
        <v>9.7458348968105106</v>
      </c>
      <c r="BK57" s="99">
        <v>9.8014727954971903</v>
      </c>
      <c r="BL57" s="99">
        <v>9.85711069418387</v>
      </c>
      <c r="BM57" s="99">
        <v>9.9127485928705497</v>
      </c>
      <c r="BN57" s="99">
        <v>9.9683864915572293</v>
      </c>
      <c r="BO57" s="99">
        <v>10.0240243902439</v>
      </c>
      <c r="BP57" s="99">
        <v>10.079662288930599</v>
      </c>
      <c r="BQ57" s="99">
        <v>10.1353001876173</v>
      </c>
      <c r="BR57" s="99">
        <v>10.1909380863039</v>
      </c>
      <c r="BS57" s="99">
        <v>10.246575984990599</v>
      </c>
      <c r="BT57" s="99">
        <v>10.3022138836773</v>
      </c>
      <c r="BU57" s="99">
        <v>10.357851782364</v>
      </c>
      <c r="BV57" s="99">
        <v>10.4134896810507</v>
      </c>
      <c r="BW57" s="99">
        <v>10.4691275797373</v>
      </c>
      <c r="BX57" s="99">
        <v>10.524765478423999</v>
      </c>
      <c r="BY57" s="99">
        <v>10.5804033771107</v>
      </c>
      <c r="BZ57" s="99">
        <v>10.6360412757974</v>
      </c>
      <c r="CA57" s="99">
        <v>10.691679174484101</v>
      </c>
      <c r="CB57" s="99">
        <v>10.7473170731707</v>
      </c>
      <c r="CC57" s="99">
        <v>10.8029549718574</v>
      </c>
      <c r="CD57" s="99">
        <v>10.858592870544101</v>
      </c>
      <c r="CE57" s="99">
        <v>10.9142307692308</v>
      </c>
      <c r="CF57" s="99">
        <v>10.9698686679174</v>
      </c>
      <c r="CG57" s="99">
        <v>11.025506566604101</v>
      </c>
      <c r="CH57" s="99">
        <v>11.0811444652908</v>
      </c>
      <c r="CI57" s="99">
        <v>11.136782363977501</v>
      </c>
      <c r="CJ57" s="99">
        <v>11.1924202626642</v>
      </c>
      <c r="CK57" s="99">
        <v>11.2480581613508</v>
      </c>
      <c r="CL57" s="99">
        <v>11.303696060037501</v>
      </c>
      <c r="CM57" s="99">
        <v>11.3593339587242</v>
      </c>
      <c r="CN57" s="99">
        <v>11.414971857410899</v>
      </c>
      <c r="CO57" s="99">
        <v>11.4706097560976</v>
      </c>
      <c r="CP57" s="99">
        <v>11.5262476547842</v>
      </c>
      <c r="CQ57" s="99">
        <v>11.581885553470901</v>
      </c>
      <c r="CR57" s="99">
        <v>11.6375234521576</v>
      </c>
      <c r="CS57" s="99">
        <v>11.693161350844299</v>
      </c>
      <c r="CT57" s="99">
        <v>11.748799249531</v>
      </c>
      <c r="CU57" s="99">
        <v>11.8044371482176</v>
      </c>
      <c r="CV57" s="99">
        <v>11.860075046904299</v>
      </c>
      <c r="CW57" s="99">
        <v>11.915712945591</v>
      </c>
      <c r="CX57" s="99">
        <v>11.971350844277699</v>
      </c>
      <c r="CY57" s="99">
        <v>12.0269887429644</v>
      </c>
      <c r="CZ57" s="99">
        <v>12.082626641651</v>
      </c>
      <c r="DA57" s="99">
        <v>12.138264540337699</v>
      </c>
      <c r="DB57" s="99">
        <v>12.1939024390244</v>
      </c>
      <c r="DC57" s="99">
        <v>12.2495403377111</v>
      </c>
      <c r="DD57" s="99">
        <v>12.305178236397699</v>
      </c>
      <c r="DE57" s="99">
        <v>12.3608161350844</v>
      </c>
      <c r="DF57" s="99">
        <v>12.4164540337711</v>
      </c>
      <c r="DG57" s="99">
        <v>12.472091932457801</v>
      </c>
      <c r="DH57" s="99">
        <v>12.5277298311445</v>
      </c>
      <c r="DI57" s="99">
        <v>12.5833677298311</v>
      </c>
      <c r="DJ57" s="99">
        <v>12.639005628517801</v>
      </c>
      <c r="DK57" s="99">
        <v>12.6946435272045</v>
      </c>
      <c r="DL57" s="99">
        <v>12.750281425891201</v>
      </c>
      <c r="DM57" s="99">
        <v>12.8059193245779</v>
      </c>
      <c r="DN57" s="99">
        <v>12.8615572232645</v>
      </c>
      <c r="DO57" s="99">
        <v>12.917195121951201</v>
      </c>
      <c r="DP57" s="99">
        <v>12.9728330206379</v>
      </c>
      <c r="DQ57" s="99">
        <v>13.028470919324601</v>
      </c>
      <c r="DR57" s="99">
        <v>13.0841088180113</v>
      </c>
      <c r="DS57" s="99">
        <v>13.1397467166979</v>
      </c>
      <c r="DT57" s="99">
        <v>13.195384615384601</v>
      </c>
      <c r="DU57" s="99">
        <v>13.2510225140713</v>
      </c>
      <c r="DV57" s="99">
        <v>13.306660412757999</v>
      </c>
      <c r="DW57" s="99">
        <v>13.3622983114447</v>
      </c>
      <c r="DX57" s="99">
        <v>13.4179362101313</v>
      </c>
      <c r="DY57" s="99">
        <v>13.473574108817999</v>
      </c>
      <c r="DZ57" s="99">
        <v>13.5292120075047</v>
      </c>
      <c r="EA57" s="99">
        <v>13.584849906191399</v>
      </c>
      <c r="EB57" s="99">
        <v>13.640487804877999</v>
      </c>
      <c r="EC57" s="99">
        <v>13.6961257035647</v>
      </c>
      <c r="ED57" s="99">
        <v>13.751763602251399</v>
      </c>
      <c r="EE57" s="99">
        <v>13.8074015009381</v>
      </c>
      <c r="EF57" s="99">
        <v>13.8630393996248</v>
      </c>
      <c r="EG57" s="99">
        <v>13.918677298311399</v>
      </c>
      <c r="EH57" s="99">
        <v>13.9743151969981</v>
      </c>
      <c r="EI57" s="99">
        <v>14.0299530956848</v>
      </c>
      <c r="EJ57" s="99">
        <v>14.085590994371501</v>
      </c>
      <c r="EK57" s="99">
        <v>14.1412288930582</v>
      </c>
      <c r="EL57" s="99">
        <v>14.196866791744799</v>
      </c>
      <c r="EM57" s="99">
        <v>14.2525046904315</v>
      </c>
      <c r="EN57" s="99">
        <v>14.3081425891182</v>
      </c>
      <c r="EO57" s="99">
        <v>14.363780487804901</v>
      </c>
      <c r="EP57" s="99">
        <v>14.4194183864916</v>
      </c>
      <c r="EQ57" s="99">
        <v>14.4750562851782</v>
      </c>
      <c r="ER57" s="99">
        <v>14.530694183864901</v>
      </c>
      <c r="ES57" s="99">
        <v>14.5863320825516</v>
      </c>
      <c r="ET57" s="99">
        <v>14.641969981238301</v>
      </c>
      <c r="EU57" s="99">
        <v>14.697607879925</v>
      </c>
      <c r="EV57" s="99">
        <v>14.7532457786116</v>
      </c>
      <c r="EW57" s="99">
        <v>14.808883677298301</v>
      </c>
      <c r="EX57" s="99">
        <v>14.864521575985</v>
      </c>
      <c r="EY57" s="99">
        <v>14.920159474671699</v>
      </c>
      <c r="EZ57" s="99">
        <v>14.975797373358301</v>
      </c>
      <c r="FA57" s="99">
        <v>15.031435272045</v>
      </c>
      <c r="FB57" s="99">
        <v>15.087073170731699</v>
      </c>
      <c r="FC57" s="99">
        <v>15.1427110694184</v>
      </c>
      <c r="FD57" s="99">
        <v>15.198348968105099</v>
      </c>
      <c r="FE57" s="99">
        <v>15.253986866791699</v>
      </c>
      <c r="FF57" s="99">
        <v>15.3096247654784</v>
      </c>
      <c r="FG57" s="99">
        <v>15.365262664165099</v>
      </c>
      <c r="FH57" s="99">
        <v>15.4209005628518</v>
      </c>
      <c r="FI57" s="99">
        <v>15.4765384615385</v>
      </c>
      <c r="FJ57" s="99">
        <v>15.532176360225099</v>
      </c>
      <c r="FK57" s="99">
        <v>15.5878142589118</v>
      </c>
      <c r="FL57" s="99">
        <v>15.643452157598499</v>
      </c>
      <c r="FM57" s="99">
        <v>15.6990900562852</v>
      </c>
      <c r="FN57" s="99">
        <v>15.7547279549719</v>
      </c>
      <c r="FO57" s="99">
        <v>15.810365853658499</v>
      </c>
      <c r="FP57" s="99">
        <v>15.8660037523452</v>
      </c>
      <c r="FQ57" s="99">
        <v>15.9216416510319</v>
      </c>
      <c r="FR57" s="99">
        <v>15.977279549718601</v>
      </c>
      <c r="FS57" s="99">
        <v>16.0329174484053</v>
      </c>
      <c r="FT57" s="99">
        <v>16.088555347091901</v>
      </c>
      <c r="FU57" s="99">
        <v>16.144193245778599</v>
      </c>
      <c r="FV57" s="99">
        <v>16.1998311444653</v>
      </c>
      <c r="FW57" s="99">
        <v>16.255469043152001</v>
      </c>
      <c r="FX57" s="99">
        <v>16.311106941838698</v>
      </c>
      <c r="FY57" s="99">
        <v>16.3667448405253</v>
      </c>
      <c r="FZ57" s="99">
        <v>16.4223827392121</v>
      </c>
      <c r="GA57" s="99">
        <v>16.478020637898702</v>
      </c>
      <c r="GB57" s="99">
        <v>16.533658536585399</v>
      </c>
      <c r="GC57" s="99">
        <v>16.5892964352721</v>
      </c>
      <c r="GD57" s="99">
        <v>16.644934333958801</v>
      </c>
      <c r="GE57" s="99">
        <v>16.700572232645399</v>
      </c>
      <c r="GF57" s="99">
        <v>16.7562101313321</v>
      </c>
      <c r="GG57" s="99">
        <v>16.811848030018801</v>
      </c>
      <c r="GH57" s="99">
        <v>16.867485928705499</v>
      </c>
      <c r="GI57" s="99">
        <v>16.9231238273922</v>
      </c>
      <c r="GJ57" s="99">
        <v>16.978761726078801</v>
      </c>
      <c r="GK57" s="99">
        <v>17.034399624765499</v>
      </c>
      <c r="GL57" s="99">
        <v>17.0900375234522</v>
      </c>
      <c r="GM57" s="99">
        <v>17.145675422138901</v>
      </c>
      <c r="GN57" s="99">
        <v>17.201313320825601</v>
      </c>
      <c r="GO57" s="99">
        <v>17.256951219512199</v>
      </c>
      <c r="GP57" s="99">
        <v>17.3125891181989</v>
      </c>
      <c r="GQ57" s="99">
        <v>17.368227016885601</v>
      </c>
      <c r="GR57" s="99">
        <v>17.423864915572299</v>
      </c>
      <c r="GS57" s="99">
        <v>17.479502814259</v>
      </c>
      <c r="GT57" s="99">
        <v>17.535140712945601</v>
      </c>
      <c r="GU57" s="99">
        <v>17.590778611632299</v>
      </c>
      <c r="GV57" s="99">
        <v>17.646416510319</v>
      </c>
      <c r="GW57" s="99">
        <v>17.702054409005701</v>
      </c>
      <c r="GX57" s="99">
        <v>17.757692307692398</v>
      </c>
      <c r="GY57" s="99">
        <v>17.813330206379</v>
      </c>
      <c r="GZ57" s="99">
        <v>17.868968105065701</v>
      </c>
      <c r="HA57" s="99">
        <v>17.924606003752402</v>
      </c>
      <c r="HB57" s="99">
        <v>17.980243902439099</v>
      </c>
      <c r="HC57" s="99">
        <v>18.035881801125701</v>
      </c>
      <c r="HD57" s="99">
        <v>18.091519699812402</v>
      </c>
      <c r="HE57" s="99">
        <v>18.147157598499099</v>
      </c>
      <c r="HF57" s="99">
        <v>18.2027954971858</v>
      </c>
      <c r="HG57" s="99">
        <v>18.258433395872501</v>
      </c>
      <c r="HH57" s="99">
        <v>18.314071294559099</v>
      </c>
      <c r="HI57" s="99">
        <v>18.3697091932458</v>
      </c>
      <c r="HJ57" s="99">
        <v>18.425347091932501</v>
      </c>
      <c r="HK57" s="99">
        <v>18.480984990619199</v>
      </c>
      <c r="HL57" s="99">
        <v>18.5366228893059</v>
      </c>
      <c r="HM57" s="99">
        <v>18.592260787992501</v>
      </c>
      <c r="HN57" s="99">
        <v>18.647898686679198</v>
      </c>
      <c r="HO57" s="99">
        <v>18.703536585365899</v>
      </c>
      <c r="HP57" s="99">
        <v>18.7591744840526</v>
      </c>
      <c r="HQ57" s="99">
        <v>18.814812382739301</v>
      </c>
      <c r="HR57" s="99">
        <v>18.870450281425899</v>
      </c>
      <c r="HS57" s="99">
        <v>18.9260881801126</v>
      </c>
      <c r="HT57" s="99">
        <v>18.981726078799301</v>
      </c>
      <c r="HU57" s="99">
        <v>19.037363977485999</v>
      </c>
      <c r="HV57" s="99">
        <v>19.0930018761727</v>
      </c>
      <c r="HW57" s="99">
        <v>19.148639774859301</v>
      </c>
      <c r="HX57" s="99">
        <v>19.204277673545999</v>
      </c>
      <c r="HY57" s="99">
        <v>19.2599155722327</v>
      </c>
      <c r="HZ57" s="99">
        <v>19.315553470919401</v>
      </c>
      <c r="IA57" s="99">
        <v>19.371191369605999</v>
      </c>
      <c r="IB57" s="99">
        <v>19.4268292682927</v>
      </c>
      <c r="IC57" s="99">
        <v>19.482467166979401</v>
      </c>
      <c r="ID57" s="99">
        <v>19.538105065666102</v>
      </c>
      <c r="IE57" s="99">
        <v>19.593742964352799</v>
      </c>
      <c r="IF57" s="99">
        <v>19.649380863039401</v>
      </c>
      <c r="IG57" s="99">
        <v>19.705018761726102</v>
      </c>
      <c r="IH57" s="99">
        <v>19.760656660412799</v>
      </c>
      <c r="II57" s="99">
        <v>19.8162945590995</v>
      </c>
      <c r="IJ57" s="99">
        <v>19.871932457786201</v>
      </c>
      <c r="IK57" s="99">
        <v>19.927570356472799</v>
      </c>
      <c r="IL57" s="99">
        <v>19.9832082551595</v>
      </c>
      <c r="IM57" s="99">
        <v>20.038846153846201</v>
      </c>
      <c r="IN57" s="99">
        <v>20.094484052532898</v>
      </c>
      <c r="IO57" s="99">
        <v>20.150121951219599</v>
      </c>
      <c r="IP57" s="99">
        <v>20.205759849906201</v>
      </c>
      <c r="IQ57" s="99">
        <v>20.261397748592898</v>
      </c>
      <c r="IR57" s="99">
        <v>20.317035647279599</v>
      </c>
      <c r="IS57" s="99">
        <v>20.3726735459663</v>
      </c>
      <c r="IT57" s="99">
        <v>20.428311444653001</v>
      </c>
      <c r="IU57" s="99">
        <v>20.483949343339599</v>
      </c>
      <c r="IV57" s="99">
        <v>20.5395872420263</v>
      </c>
      <c r="IW57" s="99">
        <v>20.595225140713001</v>
      </c>
      <c r="IX57" s="99">
        <v>20.650863039399699</v>
      </c>
      <c r="IY57" s="99">
        <v>20.7065009380864</v>
      </c>
      <c r="IZ57" s="99">
        <v>20.762138836773001</v>
      </c>
      <c r="JA57" s="99">
        <v>20.817776735459699</v>
      </c>
      <c r="JB57" s="99">
        <v>20.8734146341464</v>
      </c>
      <c r="JC57" s="99">
        <v>20.929052532833101</v>
      </c>
      <c r="JD57" s="99">
        <v>20.984690431519699</v>
      </c>
      <c r="JE57" s="99">
        <v>21.0403283302064</v>
      </c>
      <c r="JF57" s="99">
        <v>21.095966228893101</v>
      </c>
      <c r="JG57" s="99">
        <v>21.151604127579802</v>
      </c>
      <c r="JH57" s="99">
        <v>21.207242026266499</v>
      </c>
      <c r="JI57" s="99">
        <v>21.262879924953101</v>
      </c>
      <c r="JJ57" s="99">
        <v>21.318517823639802</v>
      </c>
      <c r="JK57" s="99">
        <v>21.374155722326499</v>
      </c>
      <c r="JL57" s="99">
        <v>21.4297936210132</v>
      </c>
      <c r="JM57" s="99">
        <v>21.485431519699901</v>
      </c>
      <c r="JN57" s="99">
        <v>21.541069418386499</v>
      </c>
      <c r="JO57" s="99">
        <v>21.5967073170732</v>
      </c>
      <c r="JP57" s="99">
        <v>21.652345215759901</v>
      </c>
      <c r="JQ57" s="99">
        <v>21.707983114446598</v>
      </c>
      <c r="JR57" s="99">
        <v>21.763621013133299</v>
      </c>
      <c r="JS57" s="99">
        <v>21.819258911819901</v>
      </c>
      <c r="JT57" s="99">
        <v>21.874896810506598</v>
      </c>
      <c r="JU57" s="99">
        <v>21.930534709193299</v>
      </c>
      <c r="JV57" s="99">
        <v>21.98617260788</v>
      </c>
      <c r="JW57" s="99">
        <v>22.041810506566701</v>
      </c>
      <c r="JX57" s="99">
        <v>22.097448405253299</v>
      </c>
      <c r="JY57" s="99">
        <v>22.15308630394</v>
      </c>
      <c r="JZ57" s="99">
        <v>22.208724202626701</v>
      </c>
      <c r="KA57" s="99">
        <v>22.264362101313399</v>
      </c>
      <c r="KB57" s="99">
        <v>22.32</v>
      </c>
      <c r="KC57" s="99">
        <v>22.375637898686701</v>
      </c>
      <c r="KD57" s="99">
        <v>22.431275797373399</v>
      </c>
      <c r="KE57" s="99">
        <v>22.4869136960601</v>
      </c>
      <c r="KF57" s="99">
        <v>22.542551594746801</v>
      </c>
      <c r="KG57" s="99">
        <v>22.598189493433399</v>
      </c>
      <c r="KH57" s="99">
        <v>22.6538273921201</v>
      </c>
      <c r="KI57" s="99">
        <v>22.709465290806801</v>
      </c>
      <c r="KJ57" s="99">
        <v>22.765103189493502</v>
      </c>
      <c r="KK57" s="99">
        <v>22.820741088180199</v>
      </c>
      <c r="KL57" s="99">
        <v>22.876378986866801</v>
      </c>
      <c r="KM57" s="99">
        <v>22.932016885553502</v>
      </c>
      <c r="KN57" s="99">
        <v>22.987654784240199</v>
      </c>
      <c r="KO57" s="99">
        <v>23.0432926829269</v>
      </c>
      <c r="KP57" s="99">
        <v>23.098930581613601</v>
      </c>
      <c r="KQ57" s="99">
        <v>23.154568480300199</v>
      </c>
      <c r="KR57" s="99">
        <v>23.2102063789869</v>
      </c>
      <c r="KS57" s="99">
        <v>23.265844277673601</v>
      </c>
      <c r="KT57" s="99">
        <v>23.321482176360298</v>
      </c>
      <c r="KU57" s="99">
        <v>23.377120075046999</v>
      </c>
      <c r="KV57" s="99">
        <v>23.432757973733601</v>
      </c>
      <c r="KW57" s="99">
        <v>23.488395872420298</v>
      </c>
      <c r="KX57" s="99">
        <v>23.544033771106999</v>
      </c>
      <c r="KY57" s="99">
        <v>23.5996716697937</v>
      </c>
      <c r="KZ57" s="99">
        <v>23.655309568480298</v>
      </c>
      <c r="LA57" s="99">
        <v>23.710947467166999</v>
      </c>
      <c r="LB57" s="99">
        <v>23.7665853658537</v>
      </c>
      <c r="LC57" s="99">
        <v>23.822223264540401</v>
      </c>
      <c r="LD57" s="99">
        <v>23.877861163227099</v>
      </c>
      <c r="LE57" s="99">
        <v>23.9334990619137</v>
      </c>
      <c r="LF57" s="99">
        <v>23.989136960600401</v>
      </c>
      <c r="LG57" s="99">
        <v>24.044774859287099</v>
      </c>
      <c r="LH57" s="99">
        <v>24.1004127579738</v>
      </c>
      <c r="LI57" s="99">
        <v>24.156050656660501</v>
      </c>
      <c r="LJ57" s="99">
        <v>24.211688555347099</v>
      </c>
      <c r="LK57" s="99">
        <v>24.2673264540338</v>
      </c>
      <c r="LL57" s="99">
        <v>24.322964352720501</v>
      </c>
      <c r="LM57" s="99">
        <v>24.378602251407202</v>
      </c>
      <c r="LN57" s="99">
        <v>24.434240150093899</v>
      </c>
      <c r="LO57" s="99">
        <v>24.489878048780501</v>
      </c>
      <c r="LP57" s="99">
        <v>24.545515947467202</v>
      </c>
      <c r="LQ57" s="99">
        <v>24.601153846153899</v>
      </c>
      <c r="LR57" s="99">
        <v>24.6567917448406</v>
      </c>
      <c r="LS57" s="99">
        <v>24.712429643527301</v>
      </c>
      <c r="LT57" s="99">
        <v>24.768067542213899</v>
      </c>
      <c r="LU57" s="99">
        <v>24.8237054409006</v>
      </c>
      <c r="LV57" s="99">
        <v>24.879343339587301</v>
      </c>
      <c r="LW57" s="99">
        <v>24.934981238273998</v>
      </c>
      <c r="LX57" s="99">
        <v>24.9906191369606</v>
      </c>
      <c r="LY57" s="99">
        <v>25.046257035647301</v>
      </c>
      <c r="LZ57" s="99">
        <v>25.101894934333998</v>
      </c>
      <c r="MA57" s="99">
        <v>25.157532833020699</v>
      </c>
      <c r="MB57" s="99">
        <v>25.2131707317074</v>
      </c>
      <c r="MC57" s="99">
        <v>25.268808630393998</v>
      </c>
      <c r="MD57" s="99">
        <v>25.324446529080699</v>
      </c>
      <c r="ME57" s="99">
        <v>25.3800844277674</v>
      </c>
      <c r="MF57" s="99">
        <v>25.435722326454101</v>
      </c>
      <c r="MG57" s="99">
        <v>25.491360225140799</v>
      </c>
      <c r="MH57" s="99">
        <v>25.5469981238274</v>
      </c>
      <c r="MI57" s="99">
        <v>25.602636022514101</v>
      </c>
      <c r="MJ57" s="99">
        <v>25.658273921200799</v>
      </c>
      <c r="MK57" s="99">
        <v>25.7139118198875</v>
      </c>
      <c r="ML57" s="99">
        <v>25.769549718574201</v>
      </c>
      <c r="MM57" s="99">
        <v>25.825187617260799</v>
      </c>
      <c r="MN57" s="99">
        <v>25.8808255159475</v>
      </c>
      <c r="MO57" s="99">
        <v>25.936463414634201</v>
      </c>
      <c r="MP57" s="99">
        <v>25.992101313320902</v>
      </c>
      <c r="MQ57" s="99">
        <v>26.047739212007599</v>
      </c>
      <c r="MR57" s="99">
        <v>26.103377110694201</v>
      </c>
      <c r="MS57" s="99">
        <v>26.159015009380902</v>
      </c>
      <c r="MT57" s="99">
        <v>26.214652908067599</v>
      </c>
      <c r="MU57" s="99">
        <v>26.2702908067543</v>
      </c>
      <c r="MV57" s="99">
        <v>26.325928705440901</v>
      </c>
      <c r="MW57" s="99">
        <v>26.381566604127599</v>
      </c>
      <c r="MX57" s="99">
        <v>26.4372045028143</v>
      </c>
      <c r="MY57" s="99">
        <v>26.492842401501001</v>
      </c>
      <c r="MZ57" s="99">
        <v>26.548480300187698</v>
      </c>
      <c r="NA57" s="99">
        <v>26.6041181988743</v>
      </c>
      <c r="NB57" s="99">
        <v>26.659756097561001</v>
      </c>
      <c r="NC57" s="99">
        <v>26.715393996247698</v>
      </c>
      <c r="ND57" s="99">
        <v>26.771031894934399</v>
      </c>
      <c r="NE57" s="99">
        <v>26.8266697936211</v>
      </c>
      <c r="NF57" s="99">
        <v>26.882307692307698</v>
      </c>
      <c r="NG57" s="99">
        <v>26.937945590994399</v>
      </c>
      <c r="NH57" s="99">
        <v>26.9935834896811</v>
      </c>
      <c r="NI57" s="99">
        <v>27.049221388367801</v>
      </c>
      <c r="NJ57" s="99">
        <v>27.104859287054499</v>
      </c>
      <c r="NK57" s="99">
        <v>27.1604971857411</v>
      </c>
      <c r="NL57" s="99">
        <v>27.216135084427801</v>
      </c>
      <c r="NM57" s="99">
        <v>27.271772983114499</v>
      </c>
      <c r="NN57" s="99">
        <v>27.3274108818012</v>
      </c>
      <c r="NO57" s="99">
        <v>27.383048780487901</v>
      </c>
      <c r="NP57" s="99">
        <v>27.438686679174499</v>
      </c>
      <c r="NQ57" s="99">
        <v>27.4943245778612</v>
      </c>
      <c r="NR57" s="99">
        <v>27.549962476547901</v>
      </c>
      <c r="NS57" s="99">
        <v>27.605600375234602</v>
      </c>
      <c r="NT57" s="99">
        <v>27.661238273921199</v>
      </c>
      <c r="NU57" s="99">
        <v>27.7168761726079</v>
      </c>
      <c r="NV57" s="99">
        <v>27.772514071294601</v>
      </c>
      <c r="NW57" s="99">
        <v>27.828151969981299</v>
      </c>
      <c r="NX57" s="99">
        <v>27.883789868668</v>
      </c>
      <c r="NY57" s="99">
        <v>27.939427767354601</v>
      </c>
      <c r="NZ57" s="99">
        <v>27.995065666041299</v>
      </c>
      <c r="OA57" s="99">
        <v>28.050703564728</v>
      </c>
      <c r="OB57" s="99">
        <v>28.106341463414701</v>
      </c>
      <c r="OC57" s="99">
        <v>28.161979362101398</v>
      </c>
      <c r="OD57" s="99">
        <v>28.217617260788</v>
      </c>
      <c r="OE57" s="99">
        <v>28.273255159474701</v>
      </c>
      <c r="OF57" s="99">
        <v>28.328893058161398</v>
      </c>
      <c r="OG57" s="99">
        <v>28.384530956848099</v>
      </c>
      <c r="OH57" s="99">
        <v>28.4401688555348</v>
      </c>
      <c r="OI57" s="99">
        <v>28.495806754221402</v>
      </c>
      <c r="OJ57" s="99">
        <v>28.551444652908099</v>
      </c>
      <c r="OK57" s="99">
        <v>28.6070825515948</v>
      </c>
      <c r="OL57" s="99">
        <v>28.662720450281501</v>
      </c>
      <c r="OM57" s="99">
        <v>28.718358348968199</v>
      </c>
      <c r="ON57" s="99">
        <v>28.7739962476548</v>
      </c>
      <c r="OO57" s="99">
        <v>28.829634146341501</v>
      </c>
      <c r="OP57" s="99">
        <v>28.885272045028199</v>
      </c>
      <c r="OQ57" s="99">
        <v>28.9409099437149</v>
      </c>
      <c r="OR57" s="99">
        <v>28.996547842401501</v>
      </c>
      <c r="OS57" s="99">
        <v>29.052185741088199</v>
      </c>
      <c r="OT57" s="99">
        <v>29.1078236397749</v>
      </c>
      <c r="OU57" s="99">
        <v>29.1634615384616</v>
      </c>
      <c r="OV57" s="99">
        <v>29.219099437148301</v>
      </c>
      <c r="OW57" s="99">
        <v>29.274737335834899</v>
      </c>
      <c r="OX57" s="99">
        <v>29.3303752345216</v>
      </c>
      <c r="OY57" s="99">
        <v>29.386013133208301</v>
      </c>
      <c r="OZ57" s="99">
        <v>29.441651031894999</v>
      </c>
      <c r="PA57" s="99">
        <v>29.4972889305817</v>
      </c>
      <c r="PB57" s="99">
        <v>29.552926829268301</v>
      </c>
      <c r="PC57" s="99">
        <v>29.608564727954999</v>
      </c>
      <c r="PD57" s="99">
        <v>29.6642026266417</v>
      </c>
      <c r="PE57" s="99">
        <v>29.719840525328401</v>
      </c>
      <c r="PF57" s="99">
        <v>29.775478424015098</v>
      </c>
      <c r="PG57" s="99">
        <v>29.8311163227017</v>
      </c>
      <c r="PH57" s="99">
        <v>29.886754221388401</v>
      </c>
      <c r="PI57" s="99">
        <v>29.942392120075102</v>
      </c>
      <c r="PJ57" s="99">
        <v>29.998030018761799</v>
      </c>
      <c r="PK57" s="99">
        <v>30.0536679174485</v>
      </c>
      <c r="PL57" s="99">
        <v>30.109305816135102</v>
      </c>
      <c r="PM57" s="99">
        <v>30.164943714821799</v>
      </c>
      <c r="PN57" s="99">
        <v>30.2205816135085</v>
      </c>
      <c r="PO57" s="99">
        <v>30.276219512195201</v>
      </c>
      <c r="PP57" s="99">
        <v>30.331857410881799</v>
      </c>
      <c r="PQ57" s="99">
        <v>30.3874953095685</v>
      </c>
      <c r="PR57" s="99">
        <v>30.443133208255201</v>
      </c>
      <c r="PS57" s="99">
        <v>30.498771106941899</v>
      </c>
      <c r="PT57" s="99">
        <v>30.5544090056286</v>
      </c>
      <c r="PU57" s="99">
        <v>30.610046904315201</v>
      </c>
      <c r="PV57" s="99">
        <v>30.665684803001898</v>
      </c>
      <c r="PW57" s="99">
        <v>30.721322701688599</v>
      </c>
      <c r="PX57" s="99">
        <v>30.7769606003753</v>
      </c>
      <c r="PY57" s="99">
        <v>30.832598499062001</v>
      </c>
      <c r="PZ57" s="99">
        <v>30.888236397748599</v>
      </c>
      <c r="QA57" s="99">
        <v>30.9438742964353</v>
      </c>
      <c r="QB57" s="99">
        <v>30.999512195122001</v>
      </c>
      <c r="QC57" s="99">
        <v>31.055150093808699</v>
      </c>
      <c r="QD57" s="99">
        <v>31.1107879924954</v>
      </c>
      <c r="QE57" s="99">
        <v>31.166425891182001</v>
      </c>
      <c r="QF57" s="99">
        <v>31.222063789868699</v>
      </c>
      <c r="QG57" s="99">
        <v>31.2777016885554</v>
      </c>
      <c r="QH57" s="99">
        <v>31.333339587242101</v>
      </c>
      <c r="QI57" s="99">
        <v>31.388977485928802</v>
      </c>
      <c r="QJ57" s="99">
        <v>31.4446153846154</v>
      </c>
      <c r="QK57" s="99">
        <v>31.500253283302101</v>
      </c>
      <c r="QL57" s="99">
        <v>31.555891181988802</v>
      </c>
      <c r="QM57" s="99">
        <v>31.611529080675499</v>
      </c>
      <c r="QN57" s="99">
        <v>31.667166979362101</v>
      </c>
      <c r="QO57" s="99">
        <v>31.722804878048802</v>
      </c>
      <c r="QP57" s="99">
        <v>31.778442776735499</v>
      </c>
      <c r="QQ57" s="99">
        <v>31.8340806754222</v>
      </c>
      <c r="QR57" s="99">
        <v>31.889718574108901</v>
      </c>
      <c r="QS57" s="99">
        <v>31.945356472795499</v>
      </c>
      <c r="QT57" s="99">
        <v>32.0009943714822</v>
      </c>
      <c r="QU57" s="99">
        <v>32.056632270168897</v>
      </c>
      <c r="QV57" s="99">
        <v>32.112270168855602</v>
      </c>
      <c r="QW57" s="99">
        <v>32.167908067542299</v>
      </c>
      <c r="QX57" s="99">
        <v>32.223545966228897</v>
      </c>
      <c r="QY57" s="99">
        <v>32.279183864915602</v>
      </c>
      <c r="QZ57" s="99">
        <v>32.334821763602299</v>
      </c>
      <c r="RA57" s="99">
        <v>32.390459662288997</v>
      </c>
      <c r="RB57" s="99">
        <v>32.446097560975701</v>
      </c>
      <c r="RC57" s="99">
        <v>32.501735459662299</v>
      </c>
      <c r="RD57" s="99">
        <v>32.557373358348997</v>
      </c>
      <c r="RE57" s="99">
        <v>32.613011257035701</v>
      </c>
      <c r="RF57" s="99">
        <v>32.668649155722399</v>
      </c>
      <c r="RG57" s="99">
        <v>32.724287054409103</v>
      </c>
      <c r="RH57" s="99">
        <v>32.779924953095701</v>
      </c>
      <c r="RI57" s="99">
        <v>32.835562851782399</v>
      </c>
      <c r="RJ57" s="99">
        <v>32.891200750469103</v>
      </c>
      <c r="RK57" s="99">
        <v>32.946838649155801</v>
      </c>
      <c r="RL57" s="99">
        <v>33.002476547842498</v>
      </c>
      <c r="RM57" s="99">
        <v>33.058114446529103</v>
      </c>
      <c r="RN57" s="99">
        <v>33.113752345215801</v>
      </c>
      <c r="RO57" s="99">
        <v>33.169390243902498</v>
      </c>
      <c r="RP57" s="99">
        <v>33.225028142589203</v>
      </c>
      <c r="RQ57" s="99">
        <v>33.280666041275801</v>
      </c>
      <c r="RR57" s="99">
        <v>33.336303939962498</v>
      </c>
      <c r="RS57" s="99">
        <v>33.391941838649203</v>
      </c>
      <c r="RT57" s="99">
        <v>33.4475797373359</v>
      </c>
      <c r="RU57" s="99">
        <v>33.503217636022598</v>
      </c>
      <c r="RV57" s="99">
        <v>33.558855534709203</v>
      </c>
      <c r="RW57" s="99">
        <v>33.6144934333959</v>
      </c>
      <c r="RX57" s="99">
        <v>33.670131332082597</v>
      </c>
      <c r="RY57" s="99">
        <v>33.725769230769302</v>
      </c>
      <c r="RZ57" s="99">
        <v>33.781407129455999</v>
      </c>
      <c r="SA57" s="99">
        <v>33.837045028142597</v>
      </c>
      <c r="SB57" s="99">
        <v>33.892682926829302</v>
      </c>
      <c r="SC57" s="99">
        <v>33.948320825515999</v>
      </c>
      <c r="SD57" s="99">
        <v>34.003958724202697</v>
      </c>
      <c r="SE57" s="99">
        <v>34.059596622889401</v>
      </c>
      <c r="SF57" s="99">
        <v>34.115234521575999</v>
      </c>
      <c r="SG57" s="99">
        <v>34.170872420262697</v>
      </c>
      <c r="SH57" s="99">
        <v>34.226510318949401</v>
      </c>
      <c r="SI57" s="99">
        <v>34.282148217636099</v>
      </c>
      <c r="SJ57" s="99">
        <v>34.337786116322697</v>
      </c>
      <c r="SK57" s="99">
        <v>34.393424015009401</v>
      </c>
      <c r="SL57" s="99">
        <v>34.449061913696099</v>
      </c>
      <c r="SM57" s="99">
        <v>34.504699812382803</v>
      </c>
      <c r="SN57" s="99">
        <v>34.560337711069501</v>
      </c>
      <c r="SO57" s="99">
        <v>34.615975609756099</v>
      </c>
      <c r="SP57" s="99">
        <v>34.671613508442803</v>
      </c>
      <c r="SQ57" s="99">
        <v>34.727251407129501</v>
      </c>
      <c r="SR57" s="99">
        <v>34.782889305816198</v>
      </c>
      <c r="SS57" s="99">
        <v>34.838527204502903</v>
      </c>
      <c r="ST57" s="99">
        <v>34.894165103189501</v>
      </c>
      <c r="SU57" s="99">
        <v>34.949803001876198</v>
      </c>
      <c r="SV57" s="99">
        <v>35.005440900562903</v>
      </c>
      <c r="SW57" s="99">
        <v>35.0610787992496</v>
      </c>
      <c r="SX57" s="99">
        <v>35.116716697936297</v>
      </c>
      <c r="SY57" s="99">
        <v>35.172354596622903</v>
      </c>
      <c r="SZ57" s="99">
        <v>35.2279924953096</v>
      </c>
      <c r="TA57" s="99">
        <v>35.283630393996297</v>
      </c>
      <c r="TB57" s="99">
        <v>35.339268292683002</v>
      </c>
      <c r="TC57" s="99">
        <v>35.394906191369699</v>
      </c>
      <c r="TD57" s="99">
        <v>35.450544090056297</v>
      </c>
      <c r="TE57" s="99">
        <v>35.506181988743002</v>
      </c>
      <c r="TF57" s="99">
        <v>35.561819887429699</v>
      </c>
      <c r="TG57" s="99">
        <v>35.617457786116397</v>
      </c>
      <c r="TH57" s="99">
        <v>35.673095684803101</v>
      </c>
      <c r="TI57" s="99">
        <v>35.728733583489699</v>
      </c>
      <c r="TJ57" s="99">
        <v>35.784371482176397</v>
      </c>
      <c r="TK57" s="99">
        <v>35.840009380863101</v>
      </c>
      <c r="TL57" s="99">
        <v>35.895647279549799</v>
      </c>
      <c r="TM57" s="99">
        <v>35.951285178236397</v>
      </c>
      <c r="TN57" s="99">
        <v>36.006923076923101</v>
      </c>
      <c r="TO57" s="99">
        <v>36.062560975609799</v>
      </c>
      <c r="TP57" s="99">
        <v>36.118198874296503</v>
      </c>
      <c r="TQ57" s="99">
        <v>36.173836772983201</v>
      </c>
      <c r="TR57" s="99">
        <v>36.229474671669799</v>
      </c>
      <c r="TS57" s="99">
        <v>36.285112570356503</v>
      </c>
      <c r="TT57" s="99">
        <v>36.340750469043201</v>
      </c>
      <c r="TU57" s="99">
        <v>36.396388367729898</v>
      </c>
      <c r="TV57" s="99">
        <v>36.452026266416603</v>
      </c>
      <c r="TW57" s="99">
        <v>36.507664165103201</v>
      </c>
      <c r="TX57" s="99">
        <v>36.563302063789898</v>
      </c>
      <c r="TY57" s="99">
        <v>36.618939962476603</v>
      </c>
      <c r="TZ57" s="99">
        <v>36.6745778611633</v>
      </c>
      <c r="UA57" s="99">
        <v>36.730215759849997</v>
      </c>
      <c r="UB57" s="99">
        <v>36.785853658536602</v>
      </c>
      <c r="UC57" s="99">
        <v>36.8414915572233</v>
      </c>
      <c r="UD57" s="99">
        <v>36.897129455909997</v>
      </c>
      <c r="UE57" s="99">
        <v>36.952767354596702</v>
      </c>
      <c r="UF57" s="99">
        <v>37.008405253283399</v>
      </c>
      <c r="UG57" s="99">
        <v>37.064043151969997</v>
      </c>
      <c r="UH57" s="99">
        <v>37.119681050656702</v>
      </c>
      <c r="UI57" s="99">
        <v>37.175318949343399</v>
      </c>
      <c r="UJ57" s="99">
        <v>37.230956848030097</v>
      </c>
      <c r="UK57" s="99">
        <v>37.286594746716702</v>
      </c>
      <c r="UL57" s="99">
        <v>37.342232645403399</v>
      </c>
      <c r="UM57" s="99">
        <v>37.397870544090097</v>
      </c>
      <c r="UN57" s="99">
        <v>37.453508442776801</v>
      </c>
      <c r="UO57" s="99">
        <v>37.509146341463499</v>
      </c>
      <c r="UP57" s="99">
        <v>37.564784240150097</v>
      </c>
      <c r="UQ57" s="99">
        <v>37.620422138836801</v>
      </c>
      <c r="UR57" s="99">
        <v>37.676060037523499</v>
      </c>
      <c r="US57" s="99">
        <v>37.731697936210203</v>
      </c>
      <c r="UT57" s="99">
        <v>37.787335834896901</v>
      </c>
    </row>
    <row r="58" spans="1:566" x14ac:dyDescent="0.2">
      <c r="A58" s="89">
        <v>26</v>
      </c>
      <c r="B58" s="90">
        <v>6.35</v>
      </c>
      <c r="C58" s="90">
        <v>6.4</v>
      </c>
      <c r="D58" s="90">
        <v>6.46</v>
      </c>
      <c r="E58" s="90">
        <v>6.51</v>
      </c>
      <c r="F58" s="90">
        <v>6.57</v>
      </c>
      <c r="G58" s="90">
        <v>6.62</v>
      </c>
      <c r="H58" s="90">
        <v>6.68</v>
      </c>
      <c r="I58" s="90">
        <v>6.73</v>
      </c>
      <c r="J58" s="90">
        <v>6.79</v>
      </c>
      <c r="K58" s="90">
        <v>6.84</v>
      </c>
      <c r="L58" s="90">
        <v>6.9</v>
      </c>
      <c r="M58" s="90">
        <v>6.95</v>
      </c>
      <c r="N58" s="90">
        <v>7.01</v>
      </c>
      <c r="O58" s="90">
        <v>7.07</v>
      </c>
      <c r="P58" s="90">
        <v>7.12</v>
      </c>
      <c r="Q58" s="90">
        <v>7.18</v>
      </c>
      <c r="R58" s="90">
        <v>7.23</v>
      </c>
      <c r="S58" s="90">
        <v>7.29</v>
      </c>
      <c r="T58" s="90">
        <v>7.34</v>
      </c>
      <c r="U58" s="91">
        <v>7.4</v>
      </c>
      <c r="V58" s="90">
        <v>7.45</v>
      </c>
      <c r="W58" s="90">
        <v>7.51</v>
      </c>
      <c r="X58" s="90">
        <v>7.56</v>
      </c>
      <c r="Y58" s="90">
        <v>7.62</v>
      </c>
      <c r="Z58" s="90">
        <v>7.67</v>
      </c>
      <c r="AA58" s="90">
        <v>7.73</v>
      </c>
      <c r="AB58" s="90">
        <v>7.78</v>
      </c>
      <c r="AC58" s="90">
        <v>7.84</v>
      </c>
      <c r="AD58" s="90">
        <v>7.89</v>
      </c>
      <c r="AE58" s="90">
        <v>7.95</v>
      </c>
      <c r="AF58" s="90">
        <v>8</v>
      </c>
      <c r="AG58" s="90">
        <v>8.06</v>
      </c>
      <c r="AH58" s="90">
        <v>8.11</v>
      </c>
      <c r="AI58" s="90">
        <v>8.17</v>
      </c>
      <c r="AJ58" s="90">
        <v>8.2200000000000006</v>
      </c>
      <c r="AK58" s="90">
        <v>8.2799999999999994</v>
      </c>
      <c r="AL58" s="90">
        <v>8.33</v>
      </c>
      <c r="AM58" s="90">
        <v>8.39</v>
      </c>
      <c r="AN58" s="90">
        <v>8.44</v>
      </c>
      <c r="AO58" s="91">
        <v>8.5</v>
      </c>
      <c r="AP58" s="90">
        <v>8.5543076923076899</v>
      </c>
      <c r="AQ58" s="90">
        <v>8.6094690431519592</v>
      </c>
      <c r="AR58" s="90">
        <v>8.6646303939962408</v>
      </c>
      <c r="AS58" s="90">
        <v>8.7197917448405207</v>
      </c>
      <c r="AT58" s="90">
        <v>8.7749530956848005</v>
      </c>
      <c r="AU58" s="90">
        <v>8.8301144465290697</v>
      </c>
      <c r="AV58" s="90">
        <v>8.8852757973733496</v>
      </c>
      <c r="AW58" s="90">
        <v>8.9404371482176295</v>
      </c>
      <c r="AX58" s="90">
        <v>8.9955984990619093</v>
      </c>
      <c r="AY58" s="90">
        <v>9.0507598499061892</v>
      </c>
      <c r="AZ58" s="90">
        <v>9.1059212007504602</v>
      </c>
      <c r="BA58" s="90">
        <v>9.1610825515947401</v>
      </c>
      <c r="BB58" s="90">
        <v>9.2162439024390199</v>
      </c>
      <c r="BC58" s="90">
        <v>9.2714052532832998</v>
      </c>
      <c r="BD58" s="90">
        <v>9.3265666041275708</v>
      </c>
      <c r="BE58" s="90">
        <v>9.3817279549718506</v>
      </c>
      <c r="BF58" s="90">
        <v>9.4368893058161305</v>
      </c>
      <c r="BG58" s="90">
        <v>9.4920506566604104</v>
      </c>
      <c r="BH58" s="90">
        <v>9.5472120075046796</v>
      </c>
      <c r="BI58" s="91">
        <v>9.6023733583489594</v>
      </c>
      <c r="BJ58" s="90">
        <v>9.6575347091932393</v>
      </c>
      <c r="BK58" s="99">
        <v>9.7126960600375192</v>
      </c>
      <c r="BL58" s="99">
        <v>9.7678574108817902</v>
      </c>
      <c r="BM58" s="99">
        <v>9.82301876172607</v>
      </c>
      <c r="BN58" s="99">
        <v>9.8781801125703499</v>
      </c>
      <c r="BO58" s="99">
        <v>9.9333414634146298</v>
      </c>
      <c r="BP58" s="99">
        <v>9.9885028142589096</v>
      </c>
      <c r="BQ58" s="99">
        <v>10.0436641651032</v>
      </c>
      <c r="BR58" s="99">
        <v>10.0988255159475</v>
      </c>
      <c r="BS58" s="99">
        <v>10.153986866791699</v>
      </c>
      <c r="BT58" s="99">
        <v>10.209148217636001</v>
      </c>
      <c r="BU58" s="99">
        <v>10.2643095684803</v>
      </c>
      <c r="BV58" s="99">
        <v>10.319470919324599</v>
      </c>
      <c r="BW58" s="99">
        <v>10.374632270168901</v>
      </c>
      <c r="BX58" s="99">
        <v>10.429793621013101</v>
      </c>
      <c r="BY58" s="99">
        <v>10.4849549718574</v>
      </c>
      <c r="BZ58" s="99">
        <v>10.540116322701699</v>
      </c>
      <c r="CA58" s="99">
        <v>10.595277673546001</v>
      </c>
      <c r="CB58" s="99">
        <v>10.650439024390201</v>
      </c>
      <c r="CC58" s="99">
        <v>10.7056003752345</v>
      </c>
      <c r="CD58" s="99">
        <v>10.760761726078799</v>
      </c>
      <c r="CE58" s="99">
        <v>10.815923076923101</v>
      </c>
      <c r="CF58" s="99">
        <v>10.8710844277674</v>
      </c>
      <c r="CG58" s="99">
        <v>10.9262457786116</v>
      </c>
      <c r="CH58" s="99">
        <v>10.981407129455899</v>
      </c>
      <c r="CI58" s="99">
        <v>11.0365684803002</v>
      </c>
      <c r="CJ58" s="99">
        <v>11.0917298311445</v>
      </c>
      <c r="CK58" s="99">
        <v>11.1468911819887</v>
      </c>
      <c r="CL58" s="99">
        <v>11.202052532832999</v>
      </c>
      <c r="CM58" s="99">
        <v>11.2572138836773</v>
      </c>
      <c r="CN58" s="99">
        <v>11.3123752345216</v>
      </c>
      <c r="CO58" s="99">
        <v>11.367536585365899</v>
      </c>
      <c r="CP58" s="99">
        <v>11.422697936210101</v>
      </c>
      <c r="CQ58" s="99">
        <v>11.4778592870544</v>
      </c>
      <c r="CR58" s="99">
        <v>11.5330206378987</v>
      </c>
      <c r="CS58" s="99">
        <v>11.588181988743001</v>
      </c>
      <c r="CT58" s="99">
        <v>11.643343339587201</v>
      </c>
      <c r="CU58" s="99">
        <v>11.6985046904315</v>
      </c>
      <c r="CV58" s="99">
        <v>11.7536660412758</v>
      </c>
      <c r="CW58" s="99">
        <v>11.808827392120101</v>
      </c>
      <c r="CX58" s="99">
        <v>11.8639887429644</v>
      </c>
      <c r="CY58" s="99">
        <v>11.9191500938086</v>
      </c>
      <c r="CZ58" s="99">
        <v>11.9743114446529</v>
      </c>
      <c r="DA58" s="99">
        <v>12.029472795497201</v>
      </c>
      <c r="DB58" s="99">
        <v>12.0846341463415</v>
      </c>
      <c r="DC58" s="99">
        <v>12.1397954971857</v>
      </c>
      <c r="DD58" s="99">
        <v>12.194956848029999</v>
      </c>
      <c r="DE58" s="99">
        <v>12.250118198874301</v>
      </c>
      <c r="DF58" s="99">
        <v>12.3052795497186</v>
      </c>
      <c r="DG58" s="99">
        <v>12.3604409005628</v>
      </c>
      <c r="DH58" s="99">
        <v>12.415602251407099</v>
      </c>
      <c r="DI58" s="99">
        <v>12.470763602251401</v>
      </c>
      <c r="DJ58" s="99">
        <v>12.5259249530957</v>
      </c>
      <c r="DK58" s="99">
        <v>12.581086303939999</v>
      </c>
      <c r="DL58" s="99">
        <v>12.636247654784199</v>
      </c>
      <c r="DM58" s="99">
        <v>12.6914090056285</v>
      </c>
      <c r="DN58" s="99">
        <v>12.7465703564728</v>
      </c>
      <c r="DO58" s="99">
        <v>12.801731707317099</v>
      </c>
      <c r="DP58" s="99">
        <v>12.856893058161299</v>
      </c>
      <c r="DQ58" s="99">
        <v>12.9120544090056</v>
      </c>
      <c r="DR58" s="99">
        <v>12.9672157598499</v>
      </c>
      <c r="DS58" s="99">
        <v>13.022377110694199</v>
      </c>
      <c r="DT58" s="99">
        <v>13.0775384615385</v>
      </c>
      <c r="DU58" s="99">
        <v>13.1326998123827</v>
      </c>
      <c r="DV58" s="99">
        <v>13.187861163227</v>
      </c>
      <c r="DW58" s="99">
        <v>13.243022514071299</v>
      </c>
      <c r="DX58" s="99">
        <v>13.2981838649156</v>
      </c>
      <c r="DY58" s="99">
        <v>13.3533452157598</v>
      </c>
      <c r="DZ58" s="99">
        <v>13.4085065666041</v>
      </c>
      <c r="EA58" s="99">
        <v>13.463667917448401</v>
      </c>
      <c r="EB58" s="99">
        <v>13.5188292682927</v>
      </c>
      <c r="EC58" s="99">
        <v>13.573990619137</v>
      </c>
      <c r="ED58" s="99">
        <v>13.6291519699812</v>
      </c>
      <c r="EE58" s="99">
        <v>13.684313320825501</v>
      </c>
      <c r="EF58" s="99">
        <v>13.7394746716698</v>
      </c>
      <c r="EG58" s="99">
        <v>13.7946360225141</v>
      </c>
      <c r="EH58" s="99">
        <v>13.8497973733583</v>
      </c>
      <c r="EI58" s="99">
        <v>13.904958724202601</v>
      </c>
      <c r="EJ58" s="99">
        <v>13.9601200750469</v>
      </c>
      <c r="EK58" s="99">
        <v>14.0152814258912</v>
      </c>
      <c r="EL58" s="99">
        <v>14.070442776735501</v>
      </c>
      <c r="EM58" s="99">
        <v>14.125604127579701</v>
      </c>
      <c r="EN58" s="99">
        <v>14.180765478424</v>
      </c>
      <c r="EO58" s="99">
        <v>14.235926829268299</v>
      </c>
      <c r="EP58" s="99">
        <v>14.291088180112601</v>
      </c>
      <c r="EQ58" s="99">
        <v>14.346249530956801</v>
      </c>
      <c r="ER58" s="99">
        <v>14.4014108818011</v>
      </c>
      <c r="ES58" s="99">
        <v>14.456572232645399</v>
      </c>
      <c r="ET58" s="99">
        <v>14.511733583489701</v>
      </c>
      <c r="EU58" s="99">
        <v>14.566894934334</v>
      </c>
      <c r="EV58" s="99">
        <v>14.6220562851782</v>
      </c>
      <c r="EW58" s="99">
        <v>14.677217636022499</v>
      </c>
      <c r="EX58" s="99">
        <v>14.7323789868668</v>
      </c>
      <c r="EY58" s="99">
        <v>14.7875403377111</v>
      </c>
      <c r="EZ58" s="99">
        <v>14.8427016885553</v>
      </c>
      <c r="FA58" s="99">
        <v>14.897863039399599</v>
      </c>
      <c r="FB58" s="99">
        <v>14.9530243902439</v>
      </c>
      <c r="FC58" s="99">
        <v>15.0081857410882</v>
      </c>
      <c r="FD58" s="99">
        <v>15.063347091932499</v>
      </c>
      <c r="FE58" s="99">
        <v>15.118508442776699</v>
      </c>
      <c r="FF58" s="99">
        <v>15.173669793621</v>
      </c>
      <c r="FG58" s="99">
        <v>15.2288311444653</v>
      </c>
      <c r="FH58" s="99">
        <v>15.283992495309599</v>
      </c>
      <c r="FI58" s="99">
        <v>15.339153846153801</v>
      </c>
      <c r="FJ58" s="99">
        <v>15.3943151969981</v>
      </c>
      <c r="FK58" s="99">
        <v>15.4494765478424</v>
      </c>
      <c r="FL58" s="99">
        <v>15.504637898686701</v>
      </c>
      <c r="FM58" s="99">
        <v>15.559799249531</v>
      </c>
      <c r="FN58" s="99">
        <v>15.6149606003752</v>
      </c>
      <c r="FO58" s="99">
        <v>15.6701219512195</v>
      </c>
      <c r="FP58" s="99">
        <v>15.725283302063801</v>
      </c>
      <c r="FQ58" s="99">
        <v>15.7804446529081</v>
      </c>
      <c r="FR58" s="99">
        <v>15.8356060037523</v>
      </c>
      <c r="FS58" s="99">
        <v>15.8907673545966</v>
      </c>
      <c r="FT58" s="99">
        <v>15.945928705440901</v>
      </c>
      <c r="FU58" s="99">
        <v>16.0010900562852</v>
      </c>
      <c r="FV58" s="99">
        <v>16.056251407129501</v>
      </c>
      <c r="FW58" s="99">
        <v>16.111412757973699</v>
      </c>
      <c r="FX58" s="99">
        <v>16.166574108818001</v>
      </c>
      <c r="FY58" s="99">
        <v>16.221735459662298</v>
      </c>
      <c r="FZ58" s="99">
        <v>16.276896810506599</v>
      </c>
      <c r="GA58" s="99">
        <v>16.332058161350801</v>
      </c>
      <c r="GB58" s="99">
        <v>16.387219512195099</v>
      </c>
      <c r="GC58" s="99">
        <v>16.4423808630394</v>
      </c>
      <c r="GD58" s="99">
        <v>16.497542213883701</v>
      </c>
      <c r="GE58" s="99">
        <v>16.552703564727999</v>
      </c>
      <c r="GF58" s="99">
        <v>16.6078649155722</v>
      </c>
      <c r="GG58" s="99">
        <v>16.663026266416502</v>
      </c>
      <c r="GH58" s="99">
        <v>16.718187617260799</v>
      </c>
      <c r="GI58" s="99">
        <v>16.7733489681051</v>
      </c>
      <c r="GJ58" s="99">
        <v>16.828510318949402</v>
      </c>
      <c r="GK58" s="99">
        <v>16.8836716697936</v>
      </c>
      <c r="GL58" s="99">
        <v>16.938833020637901</v>
      </c>
      <c r="GM58" s="99">
        <v>16.993994371482199</v>
      </c>
      <c r="GN58" s="99">
        <v>17.0491557223265</v>
      </c>
      <c r="GO58" s="99">
        <v>17.104317073170701</v>
      </c>
      <c r="GP58" s="99">
        <v>17.159478424014999</v>
      </c>
      <c r="GQ58" s="99">
        <v>17.2146397748593</v>
      </c>
      <c r="GR58" s="99">
        <v>17.269801125703601</v>
      </c>
      <c r="GS58" s="99">
        <v>17.324962476547899</v>
      </c>
      <c r="GT58" s="99">
        <v>17.380123827392101</v>
      </c>
      <c r="GU58" s="99">
        <v>17.435285178236398</v>
      </c>
      <c r="GV58" s="99">
        <v>17.4904465290807</v>
      </c>
      <c r="GW58" s="99">
        <v>17.545607879925001</v>
      </c>
      <c r="GX58" s="99">
        <v>17.600769230769199</v>
      </c>
      <c r="GY58" s="99">
        <v>17.6559305816135</v>
      </c>
      <c r="GZ58" s="99">
        <v>17.711091932457801</v>
      </c>
      <c r="HA58" s="99">
        <v>17.766253283302099</v>
      </c>
      <c r="HB58" s="99">
        <v>17.8214146341464</v>
      </c>
      <c r="HC58" s="99">
        <v>17.876575984990598</v>
      </c>
      <c r="HD58" s="99">
        <v>17.931737335834899</v>
      </c>
      <c r="HE58" s="99">
        <v>17.986898686679201</v>
      </c>
      <c r="HF58" s="99">
        <v>18.042060037523498</v>
      </c>
      <c r="HG58" s="99">
        <v>18.0972213883677</v>
      </c>
      <c r="HH58" s="99">
        <v>18.152382739212001</v>
      </c>
      <c r="HI58" s="99">
        <v>18.207544090056299</v>
      </c>
      <c r="HJ58" s="99">
        <v>18.2627054409006</v>
      </c>
      <c r="HK58" s="99">
        <v>18.317866791744901</v>
      </c>
      <c r="HL58" s="99">
        <v>18.373028142589099</v>
      </c>
      <c r="HM58" s="99">
        <v>18.428189493433401</v>
      </c>
      <c r="HN58" s="99">
        <v>18.483350844277702</v>
      </c>
      <c r="HO58" s="99">
        <v>18.538512195121999</v>
      </c>
      <c r="HP58" s="99">
        <v>18.593673545966201</v>
      </c>
      <c r="HQ58" s="99">
        <v>18.648834896810499</v>
      </c>
      <c r="HR58" s="99">
        <v>18.7039962476548</v>
      </c>
      <c r="HS58" s="99">
        <v>18.759157598499101</v>
      </c>
      <c r="HT58" s="99">
        <v>18.814318949343299</v>
      </c>
      <c r="HU58" s="99">
        <v>18.8694803001876</v>
      </c>
      <c r="HV58" s="99">
        <v>18.924641651031902</v>
      </c>
      <c r="HW58" s="99">
        <v>18.979803001876199</v>
      </c>
      <c r="HX58" s="99">
        <v>19.0349643527205</v>
      </c>
      <c r="HY58" s="99">
        <v>19.090125703564699</v>
      </c>
      <c r="HZ58" s="99">
        <v>19.145287054409</v>
      </c>
      <c r="IA58" s="99">
        <v>19.200448405253301</v>
      </c>
      <c r="IB58" s="99">
        <v>19.255609756097599</v>
      </c>
      <c r="IC58" s="99">
        <v>19.3107711069418</v>
      </c>
      <c r="ID58" s="99">
        <v>19.365932457786101</v>
      </c>
      <c r="IE58" s="99">
        <v>19.421093808630399</v>
      </c>
      <c r="IF58" s="99">
        <v>19.4762551594747</v>
      </c>
      <c r="IG58" s="99">
        <v>19.531416510319001</v>
      </c>
      <c r="IH58" s="99">
        <v>19.5865778611632</v>
      </c>
      <c r="II58" s="99">
        <v>19.641739212007501</v>
      </c>
      <c r="IJ58" s="99">
        <v>19.696900562851798</v>
      </c>
      <c r="IK58" s="99">
        <v>19.7520619136961</v>
      </c>
      <c r="IL58" s="99">
        <v>19.807223264540301</v>
      </c>
      <c r="IM58" s="99">
        <v>19.862384615384599</v>
      </c>
      <c r="IN58" s="99">
        <v>19.9175459662289</v>
      </c>
      <c r="IO58" s="99">
        <v>19.972707317073201</v>
      </c>
      <c r="IP58" s="99">
        <v>20.027868667917499</v>
      </c>
      <c r="IQ58" s="99">
        <v>20.083030018761701</v>
      </c>
      <c r="IR58" s="99">
        <v>20.138191369606002</v>
      </c>
      <c r="IS58" s="99">
        <v>20.193352720450299</v>
      </c>
      <c r="IT58" s="99">
        <v>20.248514071294601</v>
      </c>
      <c r="IU58" s="99">
        <v>20.303675422138799</v>
      </c>
      <c r="IV58" s="99">
        <v>20.3588367729831</v>
      </c>
      <c r="IW58" s="99">
        <v>20.413998123827401</v>
      </c>
      <c r="IX58" s="99">
        <v>20.469159474671699</v>
      </c>
      <c r="IY58" s="99">
        <v>20.524320825516</v>
      </c>
      <c r="IZ58" s="99">
        <v>20.579482176360202</v>
      </c>
      <c r="JA58" s="99">
        <v>20.634643527204499</v>
      </c>
      <c r="JB58" s="99">
        <v>20.6898048780488</v>
      </c>
      <c r="JC58" s="99">
        <v>20.744966228893102</v>
      </c>
      <c r="JD58" s="99">
        <v>20.8001275797373</v>
      </c>
      <c r="JE58" s="99">
        <v>20.855288930581601</v>
      </c>
      <c r="JF58" s="99">
        <v>20.910450281425899</v>
      </c>
      <c r="JG58" s="99">
        <v>20.9656116322702</v>
      </c>
      <c r="JH58" s="99">
        <v>21.020772983114501</v>
      </c>
      <c r="JI58" s="99">
        <v>21.075934333958699</v>
      </c>
      <c r="JJ58" s="99">
        <v>21.131095684803</v>
      </c>
      <c r="JK58" s="99">
        <v>21.186257035647301</v>
      </c>
      <c r="JL58" s="99">
        <v>21.241418386491599</v>
      </c>
      <c r="JM58" s="99">
        <v>21.296579737335801</v>
      </c>
      <c r="JN58" s="99">
        <v>21.351741088180098</v>
      </c>
      <c r="JO58" s="99">
        <v>21.4069024390244</v>
      </c>
      <c r="JP58" s="99">
        <v>21.462063789868701</v>
      </c>
      <c r="JQ58" s="99">
        <v>21.517225140712998</v>
      </c>
      <c r="JR58" s="99">
        <v>21.5723864915572</v>
      </c>
      <c r="JS58" s="99">
        <v>21.627547842401501</v>
      </c>
      <c r="JT58" s="99">
        <v>21.682709193245799</v>
      </c>
      <c r="JU58" s="99">
        <v>21.7378705440901</v>
      </c>
      <c r="JV58" s="99">
        <v>21.793031894934298</v>
      </c>
      <c r="JW58" s="99">
        <v>21.848193245778599</v>
      </c>
      <c r="JX58" s="99">
        <v>21.903354596622901</v>
      </c>
      <c r="JY58" s="99">
        <v>21.958515947467198</v>
      </c>
      <c r="JZ58" s="99">
        <v>22.013677298311499</v>
      </c>
      <c r="KA58" s="99">
        <v>22.068838649155701</v>
      </c>
      <c r="KB58" s="99">
        <v>22.123999999999999</v>
      </c>
      <c r="KC58" s="99">
        <v>22.1791613508443</v>
      </c>
      <c r="KD58" s="99">
        <v>22.234322701688601</v>
      </c>
      <c r="KE58" s="99">
        <v>22.289484052532799</v>
      </c>
      <c r="KF58" s="99">
        <v>22.3446454033771</v>
      </c>
      <c r="KG58" s="99">
        <v>22.399806754221402</v>
      </c>
      <c r="KH58" s="99">
        <v>22.454968105065699</v>
      </c>
      <c r="KI58" s="99">
        <v>22.51012945591</v>
      </c>
      <c r="KJ58" s="99">
        <v>22.565290806754199</v>
      </c>
      <c r="KK58" s="99">
        <v>22.6204521575985</v>
      </c>
      <c r="KL58" s="99">
        <v>22.675613508442801</v>
      </c>
      <c r="KM58" s="99">
        <v>22.730774859287099</v>
      </c>
      <c r="KN58" s="99">
        <v>22.7859362101313</v>
      </c>
      <c r="KO58" s="99">
        <v>22.841097560975602</v>
      </c>
      <c r="KP58" s="99">
        <v>22.896258911819899</v>
      </c>
      <c r="KQ58" s="99">
        <v>22.9514202626642</v>
      </c>
      <c r="KR58" s="99">
        <v>23.006581613508502</v>
      </c>
      <c r="KS58" s="99">
        <v>23.0617429643527</v>
      </c>
      <c r="KT58" s="99">
        <v>23.116904315197001</v>
      </c>
      <c r="KU58" s="99">
        <v>23.172065666041298</v>
      </c>
      <c r="KV58" s="99">
        <v>23.2272270168856</v>
      </c>
      <c r="KW58" s="99">
        <v>23.282388367729801</v>
      </c>
      <c r="KX58" s="99">
        <v>23.337549718574099</v>
      </c>
      <c r="KY58" s="99">
        <v>23.3927110694184</v>
      </c>
      <c r="KZ58" s="99">
        <v>23.447872420262701</v>
      </c>
      <c r="LA58" s="99">
        <v>23.5030337711069</v>
      </c>
      <c r="LB58" s="99">
        <v>23.558195121951201</v>
      </c>
      <c r="LC58" s="99">
        <v>23.613356472795498</v>
      </c>
      <c r="LD58" s="99">
        <v>23.6685178236398</v>
      </c>
      <c r="LE58" s="99">
        <v>23.723679174484101</v>
      </c>
      <c r="LF58" s="99">
        <v>23.778840525328299</v>
      </c>
      <c r="LG58" s="99">
        <v>23.8340018761726</v>
      </c>
      <c r="LH58" s="99">
        <v>23.889163227016901</v>
      </c>
      <c r="LI58" s="99">
        <v>23.944324577861199</v>
      </c>
      <c r="LJ58" s="99">
        <v>23.9994859287055</v>
      </c>
      <c r="LK58" s="99">
        <v>24.054647279549702</v>
      </c>
      <c r="LL58" s="99">
        <v>24.109808630393999</v>
      </c>
      <c r="LM58" s="99">
        <v>24.164969981238301</v>
      </c>
      <c r="LN58" s="99">
        <v>24.220131332082602</v>
      </c>
      <c r="LO58" s="99">
        <v>24.2752926829268</v>
      </c>
      <c r="LP58" s="99">
        <v>24.330454033771101</v>
      </c>
      <c r="LQ58" s="99">
        <v>24.385615384615399</v>
      </c>
      <c r="LR58" s="99">
        <v>24.4407767354597</v>
      </c>
      <c r="LS58" s="99">
        <v>24.495938086303902</v>
      </c>
      <c r="LT58" s="99">
        <v>24.551099437148199</v>
      </c>
      <c r="LU58" s="99">
        <v>24.6062607879925</v>
      </c>
      <c r="LV58" s="99">
        <v>24.661422138836802</v>
      </c>
      <c r="LW58" s="99">
        <v>24.716583489681099</v>
      </c>
      <c r="LX58" s="99">
        <v>24.771744840525301</v>
      </c>
      <c r="LY58" s="99">
        <v>24.826906191369599</v>
      </c>
      <c r="LZ58" s="99">
        <v>24.8820675422139</v>
      </c>
      <c r="MA58" s="99">
        <v>24.937228893058201</v>
      </c>
      <c r="MB58" s="99">
        <v>24.992390243902399</v>
      </c>
      <c r="MC58" s="99">
        <v>25.0475515947467</v>
      </c>
      <c r="MD58" s="99">
        <v>25.102712945591001</v>
      </c>
      <c r="ME58" s="99">
        <v>25.157874296435299</v>
      </c>
      <c r="MF58" s="99">
        <v>25.2130356472796</v>
      </c>
      <c r="MG58" s="99">
        <v>25.268196998123798</v>
      </c>
      <c r="MH58" s="99">
        <v>25.3233583489681</v>
      </c>
      <c r="MI58" s="99">
        <v>25.378519699812401</v>
      </c>
      <c r="MJ58" s="99">
        <v>25.433681050656698</v>
      </c>
      <c r="MK58" s="99">
        <v>25.4888424015009</v>
      </c>
      <c r="ML58" s="99">
        <v>25.544003752345201</v>
      </c>
      <c r="MM58" s="99">
        <v>25.599165103189499</v>
      </c>
      <c r="MN58" s="99">
        <v>25.6543264540338</v>
      </c>
      <c r="MO58" s="99">
        <v>25.709487804878101</v>
      </c>
      <c r="MP58" s="99">
        <v>25.764649155722299</v>
      </c>
      <c r="MQ58" s="99">
        <v>25.819810506566601</v>
      </c>
      <c r="MR58" s="99">
        <v>25.874971857410898</v>
      </c>
      <c r="MS58" s="99">
        <v>25.930133208255199</v>
      </c>
      <c r="MT58" s="99">
        <v>25.985294559099401</v>
      </c>
      <c r="MU58" s="99">
        <v>26.040455909943699</v>
      </c>
      <c r="MV58" s="99">
        <v>26.095617260788</v>
      </c>
      <c r="MW58" s="99">
        <v>26.150778611632301</v>
      </c>
      <c r="MX58" s="99">
        <v>26.205939962476599</v>
      </c>
      <c r="MY58" s="99">
        <v>26.2611013133208</v>
      </c>
      <c r="MZ58" s="99">
        <v>26.316262664165102</v>
      </c>
      <c r="NA58" s="99">
        <v>26.371424015009399</v>
      </c>
      <c r="NB58" s="99">
        <v>26.4265853658537</v>
      </c>
      <c r="NC58" s="99">
        <v>26.481746716697899</v>
      </c>
      <c r="ND58" s="99">
        <v>26.5369080675422</v>
      </c>
      <c r="NE58" s="99">
        <v>26.592069418386501</v>
      </c>
      <c r="NF58" s="99">
        <v>26.647230769230799</v>
      </c>
      <c r="NG58" s="99">
        <v>26.7023921200751</v>
      </c>
      <c r="NH58" s="99">
        <v>26.757553470919301</v>
      </c>
      <c r="NI58" s="99">
        <v>26.812714821763599</v>
      </c>
      <c r="NJ58" s="99">
        <v>26.8678761726079</v>
      </c>
      <c r="NK58" s="99">
        <v>26.923037523452201</v>
      </c>
      <c r="NL58" s="99">
        <v>26.9781988742964</v>
      </c>
      <c r="NM58" s="99">
        <v>27.033360225140701</v>
      </c>
      <c r="NN58" s="99">
        <v>27.088521575984998</v>
      </c>
      <c r="NO58" s="99">
        <v>27.1436829268293</v>
      </c>
      <c r="NP58" s="99">
        <v>27.198844277673601</v>
      </c>
      <c r="NQ58" s="99">
        <v>27.254005628517799</v>
      </c>
      <c r="NR58" s="99">
        <v>27.3091669793621</v>
      </c>
      <c r="NS58" s="99">
        <v>27.364328330206401</v>
      </c>
      <c r="NT58" s="99">
        <v>27.419489681050699</v>
      </c>
      <c r="NU58" s="99">
        <v>27.474651031894901</v>
      </c>
      <c r="NV58" s="99">
        <v>27.529812382739198</v>
      </c>
      <c r="NW58" s="99">
        <v>27.584973733583499</v>
      </c>
      <c r="NX58" s="99">
        <v>27.640135084427801</v>
      </c>
      <c r="NY58" s="99">
        <v>27.695296435272098</v>
      </c>
      <c r="NZ58" s="99">
        <v>27.7504577861163</v>
      </c>
      <c r="OA58" s="99">
        <v>27.805619136960601</v>
      </c>
      <c r="OB58" s="99">
        <v>27.860780487804899</v>
      </c>
      <c r="OC58" s="99">
        <v>27.9159418386492</v>
      </c>
      <c r="OD58" s="99">
        <v>27.971103189493402</v>
      </c>
      <c r="OE58" s="99">
        <v>28.026264540337699</v>
      </c>
      <c r="OF58" s="99">
        <v>28.081425891182</v>
      </c>
      <c r="OG58" s="99">
        <v>28.136587242026302</v>
      </c>
      <c r="OH58" s="99">
        <v>28.1917485928705</v>
      </c>
      <c r="OI58" s="99">
        <v>28.246909943714801</v>
      </c>
      <c r="OJ58" s="99">
        <v>28.302071294559099</v>
      </c>
      <c r="OK58" s="99">
        <v>28.3572326454034</v>
      </c>
      <c r="OL58" s="99">
        <v>28.412393996247701</v>
      </c>
      <c r="OM58" s="99">
        <v>28.467555347091899</v>
      </c>
      <c r="ON58" s="99">
        <v>28.5227166979362</v>
      </c>
      <c r="OO58" s="99">
        <v>28.577878048780502</v>
      </c>
      <c r="OP58" s="99">
        <v>28.633039399624799</v>
      </c>
      <c r="OQ58" s="99">
        <v>28.6882007504691</v>
      </c>
      <c r="OR58" s="99">
        <v>28.743362101313298</v>
      </c>
      <c r="OS58" s="99">
        <v>28.7985234521576</v>
      </c>
      <c r="OT58" s="99">
        <v>28.853684803001901</v>
      </c>
      <c r="OU58" s="99">
        <v>28.908846153846198</v>
      </c>
      <c r="OV58" s="99">
        <v>28.9640075046904</v>
      </c>
      <c r="OW58" s="99">
        <v>29.019168855534701</v>
      </c>
      <c r="OX58" s="99">
        <v>29.074330206378999</v>
      </c>
      <c r="OY58" s="99">
        <v>29.1294915572233</v>
      </c>
      <c r="OZ58" s="99">
        <v>29.184652908067498</v>
      </c>
      <c r="PA58" s="99">
        <v>29.2398142589118</v>
      </c>
      <c r="PB58" s="99">
        <v>29.294975609756101</v>
      </c>
      <c r="PC58" s="99">
        <v>29.350136960600398</v>
      </c>
      <c r="PD58" s="99">
        <v>29.4052983114447</v>
      </c>
      <c r="PE58" s="99">
        <v>29.460459662288901</v>
      </c>
      <c r="PF58" s="99">
        <v>29.515621013133199</v>
      </c>
      <c r="PG58" s="99">
        <v>29.5707823639775</v>
      </c>
      <c r="PH58" s="99">
        <v>29.625943714821801</v>
      </c>
      <c r="PI58" s="99">
        <v>29.681105065665999</v>
      </c>
      <c r="PJ58" s="99">
        <v>29.736266416510301</v>
      </c>
      <c r="PK58" s="99">
        <v>29.791427767354602</v>
      </c>
      <c r="PL58" s="99">
        <v>29.846589118198899</v>
      </c>
      <c r="PM58" s="99">
        <v>29.901750469043201</v>
      </c>
      <c r="PN58" s="99">
        <v>29.956911819887399</v>
      </c>
      <c r="PO58" s="99">
        <v>30.0120731707317</v>
      </c>
      <c r="PP58" s="99">
        <v>30.067234521576001</v>
      </c>
      <c r="PQ58" s="99">
        <v>30.122395872420299</v>
      </c>
      <c r="PR58" s="99">
        <v>30.1775572232645</v>
      </c>
      <c r="PS58" s="99">
        <v>30.232718574108802</v>
      </c>
      <c r="PT58" s="99">
        <v>30.287879924953099</v>
      </c>
      <c r="PU58" s="99">
        <v>30.3430412757974</v>
      </c>
      <c r="PV58" s="99">
        <v>30.398202626641702</v>
      </c>
      <c r="PW58" s="99">
        <v>30.4533639774859</v>
      </c>
      <c r="PX58" s="99">
        <v>30.508525328330201</v>
      </c>
      <c r="PY58" s="99">
        <v>30.563686679174499</v>
      </c>
      <c r="PZ58" s="99">
        <v>30.6188480300188</v>
      </c>
      <c r="QA58" s="99">
        <v>30.674009380863001</v>
      </c>
      <c r="QB58" s="99">
        <v>30.729170731707299</v>
      </c>
      <c r="QC58" s="99">
        <v>30.7843320825516</v>
      </c>
      <c r="QD58" s="99">
        <v>30.839493433395901</v>
      </c>
      <c r="QE58" s="99">
        <v>30.894654784240199</v>
      </c>
      <c r="QF58" s="99">
        <v>30.949816135084401</v>
      </c>
      <c r="QG58" s="99">
        <v>31.004977485928698</v>
      </c>
      <c r="QH58" s="99">
        <v>31.060138836773</v>
      </c>
      <c r="QI58" s="99">
        <v>31.115300187617301</v>
      </c>
      <c r="QJ58" s="99">
        <v>31.170461538461499</v>
      </c>
      <c r="QK58" s="99">
        <v>31.2256228893058</v>
      </c>
      <c r="QL58" s="99">
        <v>31.280784240150101</v>
      </c>
      <c r="QM58" s="99">
        <v>31.335945590994399</v>
      </c>
      <c r="QN58" s="99">
        <v>31.3911069418387</v>
      </c>
      <c r="QO58" s="99">
        <v>31.446268292682898</v>
      </c>
      <c r="QP58" s="99">
        <v>31.501429643527199</v>
      </c>
      <c r="QQ58" s="99">
        <v>31.556590994371501</v>
      </c>
      <c r="QR58" s="99">
        <v>31.611752345215798</v>
      </c>
      <c r="QS58" s="99">
        <v>31.66691369606</v>
      </c>
      <c r="QT58" s="99">
        <v>31.722075046904301</v>
      </c>
      <c r="QU58" s="99">
        <v>31.777236397748599</v>
      </c>
      <c r="QV58" s="99">
        <v>31.8323977485929</v>
      </c>
      <c r="QW58" s="99">
        <v>31.887559099437201</v>
      </c>
      <c r="QX58" s="99">
        <v>31.942720450281399</v>
      </c>
      <c r="QY58" s="99">
        <v>31.9978818011257</v>
      </c>
      <c r="QZ58" s="99">
        <v>32.053043151970002</v>
      </c>
      <c r="RA58" s="99">
        <v>32.108204502814303</v>
      </c>
      <c r="RB58" s="99">
        <v>32.163365853658497</v>
      </c>
      <c r="RC58" s="99">
        <v>32.218527204502799</v>
      </c>
      <c r="RD58" s="99">
        <v>32.2736885553471</v>
      </c>
      <c r="RE58" s="99">
        <v>32.328849906191401</v>
      </c>
      <c r="RF58" s="99">
        <v>32.384011257035702</v>
      </c>
      <c r="RG58" s="99">
        <v>32.439172607879897</v>
      </c>
      <c r="RH58" s="99">
        <v>32.494333958724198</v>
      </c>
      <c r="RI58" s="99">
        <v>32.549495309568499</v>
      </c>
      <c r="RJ58" s="99">
        <v>32.6046566604128</v>
      </c>
      <c r="RK58" s="99">
        <v>32.659818011257002</v>
      </c>
      <c r="RL58" s="99">
        <v>32.714979362101303</v>
      </c>
      <c r="RM58" s="99">
        <v>32.770140712945597</v>
      </c>
      <c r="RN58" s="99">
        <v>32.825302063789898</v>
      </c>
      <c r="RO58" s="99">
        <v>32.8804634146341</v>
      </c>
      <c r="RP58" s="99">
        <v>32.935624765478401</v>
      </c>
      <c r="RQ58" s="99">
        <v>32.990786116322703</v>
      </c>
      <c r="RR58" s="99">
        <v>33.045947467166997</v>
      </c>
      <c r="RS58" s="99">
        <v>33.101108818011298</v>
      </c>
      <c r="RT58" s="99">
        <v>33.156270168855499</v>
      </c>
      <c r="RU58" s="99">
        <v>33.211431519699801</v>
      </c>
      <c r="RV58" s="99">
        <v>33.266592870544102</v>
      </c>
      <c r="RW58" s="99">
        <v>33.321754221388403</v>
      </c>
      <c r="RX58" s="99">
        <v>33.376915572232697</v>
      </c>
      <c r="RY58" s="99">
        <v>33.432076923076899</v>
      </c>
      <c r="RZ58" s="99">
        <v>33.4872382739212</v>
      </c>
      <c r="SA58" s="99">
        <v>33.542399624765501</v>
      </c>
      <c r="SB58" s="99">
        <v>33.597560975609802</v>
      </c>
      <c r="SC58" s="99">
        <v>33.652722326453997</v>
      </c>
      <c r="SD58" s="99">
        <v>33.707883677298298</v>
      </c>
      <c r="SE58" s="99">
        <v>33.763045028142599</v>
      </c>
      <c r="SF58" s="99">
        <v>33.818206378986901</v>
      </c>
      <c r="SG58" s="99">
        <v>33.873367729831102</v>
      </c>
      <c r="SH58" s="99">
        <v>33.928529080675403</v>
      </c>
      <c r="SI58" s="99">
        <v>33.983690431519697</v>
      </c>
      <c r="SJ58" s="99">
        <v>34.038851782363999</v>
      </c>
      <c r="SK58" s="99">
        <v>34.0940131332083</v>
      </c>
      <c r="SL58" s="99">
        <v>34.149174484052502</v>
      </c>
      <c r="SM58" s="99">
        <v>34.204335834896803</v>
      </c>
      <c r="SN58" s="99">
        <v>34.259497185741097</v>
      </c>
      <c r="SO58" s="99">
        <v>34.314658536585398</v>
      </c>
      <c r="SP58" s="99">
        <v>34.3698198874296</v>
      </c>
      <c r="SQ58" s="99">
        <v>34.424981238273901</v>
      </c>
      <c r="SR58" s="99">
        <v>34.480142589118202</v>
      </c>
      <c r="SS58" s="99">
        <v>34.535303939962503</v>
      </c>
      <c r="ST58" s="99">
        <v>34.590465290806797</v>
      </c>
      <c r="SU58" s="99">
        <v>34.645626641650999</v>
      </c>
      <c r="SV58" s="99">
        <v>34.7007879924953</v>
      </c>
      <c r="SW58" s="99">
        <v>34.755949343339601</v>
      </c>
      <c r="SX58" s="99">
        <v>34.811110694183903</v>
      </c>
      <c r="SY58" s="99">
        <v>34.866272045028097</v>
      </c>
      <c r="SZ58" s="99">
        <v>34.921433395872398</v>
      </c>
      <c r="TA58" s="99">
        <v>34.9765947467167</v>
      </c>
      <c r="TB58" s="99">
        <v>35.031756097561001</v>
      </c>
      <c r="TC58" s="99">
        <v>35.086917448405302</v>
      </c>
      <c r="TD58" s="99">
        <v>35.142078799249497</v>
      </c>
      <c r="TE58" s="99">
        <v>35.197240150093798</v>
      </c>
      <c r="TF58" s="99">
        <v>35.252401500938099</v>
      </c>
      <c r="TG58" s="99">
        <v>35.3075628517824</v>
      </c>
      <c r="TH58" s="99">
        <v>35.362724202626602</v>
      </c>
      <c r="TI58" s="99">
        <v>35.417885553470903</v>
      </c>
      <c r="TJ58" s="99">
        <v>35.473046904315197</v>
      </c>
      <c r="TK58" s="99">
        <v>35.528208255159498</v>
      </c>
      <c r="TL58" s="99">
        <v>35.583369606003799</v>
      </c>
      <c r="TM58" s="99">
        <v>35.638530956848001</v>
      </c>
      <c r="TN58" s="99">
        <v>35.693692307692302</v>
      </c>
      <c r="TO58" s="99">
        <v>35.748853658536603</v>
      </c>
      <c r="TP58" s="99">
        <v>35.804015009380898</v>
      </c>
      <c r="TQ58" s="99">
        <v>35.859176360225099</v>
      </c>
      <c r="TR58" s="99">
        <v>35.9143377110694</v>
      </c>
      <c r="TS58" s="99">
        <v>35.969499061913702</v>
      </c>
      <c r="TT58" s="99">
        <v>36.024660412758003</v>
      </c>
      <c r="TU58" s="99">
        <v>36.079821763602297</v>
      </c>
      <c r="TV58" s="99">
        <v>36.134983114446499</v>
      </c>
      <c r="TW58" s="99">
        <v>36.1901444652908</v>
      </c>
      <c r="TX58" s="99">
        <v>36.245305816135101</v>
      </c>
      <c r="TY58" s="99">
        <v>36.300467166979402</v>
      </c>
      <c r="TZ58" s="99">
        <v>36.355628517823597</v>
      </c>
      <c r="UA58" s="99">
        <v>36.410789868667898</v>
      </c>
      <c r="UB58" s="99">
        <v>36.465951219512199</v>
      </c>
      <c r="UC58" s="99">
        <v>36.5211125703565</v>
      </c>
      <c r="UD58" s="99">
        <v>36.576273921200801</v>
      </c>
      <c r="UE58" s="99">
        <v>36.631435272045003</v>
      </c>
      <c r="UF58" s="99">
        <v>36.686596622889297</v>
      </c>
      <c r="UG58" s="99">
        <v>36.741757973733598</v>
      </c>
      <c r="UH58" s="99">
        <v>36.7969193245779</v>
      </c>
      <c r="UI58" s="99">
        <v>36.852080675422101</v>
      </c>
      <c r="UJ58" s="99">
        <v>36.907242026266402</v>
      </c>
      <c r="UK58" s="99">
        <v>36.962403377110697</v>
      </c>
      <c r="UL58" s="99">
        <v>37.017564727954998</v>
      </c>
      <c r="UM58" s="99">
        <v>37.072726078799299</v>
      </c>
      <c r="UN58" s="99">
        <v>37.127887429643501</v>
      </c>
      <c r="UO58" s="99">
        <v>37.183048780487802</v>
      </c>
      <c r="UP58" s="99">
        <v>37.238210131332103</v>
      </c>
      <c r="UQ58" s="99">
        <v>37.293371482176397</v>
      </c>
      <c r="UR58" s="99">
        <v>37.348532833020599</v>
      </c>
      <c r="US58" s="99">
        <v>37.4036941838649</v>
      </c>
      <c r="UT58" s="99">
        <v>37.458855534709201</v>
      </c>
    </row>
    <row r="59" spans="1:566" x14ac:dyDescent="0.2">
      <c r="A59" s="89">
        <v>26.5</v>
      </c>
      <c r="B59" s="90">
        <v>6.29</v>
      </c>
      <c r="C59" s="90">
        <v>6.34</v>
      </c>
      <c r="D59" s="90">
        <v>6.4</v>
      </c>
      <c r="E59" s="90">
        <v>6.45</v>
      </c>
      <c r="F59" s="90">
        <v>6.51</v>
      </c>
      <c r="G59" s="90">
        <v>6.56</v>
      </c>
      <c r="H59" s="90">
        <v>6.62</v>
      </c>
      <c r="I59" s="90">
        <v>6.67</v>
      </c>
      <c r="J59" s="90">
        <v>6.73</v>
      </c>
      <c r="K59" s="90">
        <v>6.78</v>
      </c>
      <c r="L59" s="90">
        <v>6.84</v>
      </c>
      <c r="M59" s="90">
        <v>6.89</v>
      </c>
      <c r="N59" s="90">
        <v>6.95</v>
      </c>
      <c r="O59" s="90">
        <v>7</v>
      </c>
      <c r="P59" s="90">
        <v>7.06</v>
      </c>
      <c r="Q59" s="90">
        <v>7.11</v>
      </c>
      <c r="R59" s="90">
        <v>7.16</v>
      </c>
      <c r="S59" s="90">
        <v>7.22</v>
      </c>
      <c r="T59" s="90">
        <v>7.27</v>
      </c>
      <c r="U59" s="91">
        <v>7.33</v>
      </c>
      <c r="V59" s="90">
        <v>7.38</v>
      </c>
      <c r="W59" s="90">
        <v>7.44</v>
      </c>
      <c r="X59" s="90">
        <v>7.49</v>
      </c>
      <c r="Y59" s="90">
        <v>7.55</v>
      </c>
      <c r="Z59" s="90">
        <v>7.6</v>
      </c>
      <c r="AA59" s="90">
        <v>7.66</v>
      </c>
      <c r="AB59" s="90">
        <v>7.71</v>
      </c>
      <c r="AC59" s="90">
        <v>7.77</v>
      </c>
      <c r="AD59" s="90">
        <v>7.82</v>
      </c>
      <c r="AE59" s="90">
        <v>7.88</v>
      </c>
      <c r="AF59" s="90">
        <v>7.93</v>
      </c>
      <c r="AG59" s="90">
        <v>7.99</v>
      </c>
      <c r="AH59" s="90">
        <v>8.0399999999999991</v>
      </c>
      <c r="AI59" s="90">
        <v>8.1</v>
      </c>
      <c r="AJ59" s="90">
        <v>8.15</v>
      </c>
      <c r="AK59" s="90">
        <v>8.1999999999999993</v>
      </c>
      <c r="AL59" s="90">
        <v>8.26</v>
      </c>
      <c r="AM59" s="90">
        <v>8.31</v>
      </c>
      <c r="AN59" s="90">
        <v>8.3699999999999992</v>
      </c>
      <c r="AO59" s="91">
        <v>8.42</v>
      </c>
      <c r="AP59" s="90">
        <v>8.4780769230769195</v>
      </c>
      <c r="AQ59" s="90">
        <v>8.5328001876172692</v>
      </c>
      <c r="AR59" s="90">
        <v>8.5875234521575994</v>
      </c>
      <c r="AS59" s="90">
        <v>8.6422467166979295</v>
      </c>
      <c r="AT59" s="90">
        <v>8.6969699812382792</v>
      </c>
      <c r="AU59" s="90">
        <v>8.7516932457786094</v>
      </c>
      <c r="AV59" s="90">
        <v>8.8064165103189396</v>
      </c>
      <c r="AW59" s="90">
        <v>8.8611397748592893</v>
      </c>
      <c r="AX59" s="90">
        <v>8.9158630393996194</v>
      </c>
      <c r="AY59" s="90">
        <v>8.9705863039399691</v>
      </c>
      <c r="AZ59" s="90">
        <v>9.02530956848031</v>
      </c>
      <c r="BA59" s="90">
        <v>9.0800328330206295</v>
      </c>
      <c r="BB59" s="90">
        <v>9.1347560975609792</v>
      </c>
      <c r="BC59" s="90">
        <v>9.18947936210132</v>
      </c>
      <c r="BD59" s="90">
        <v>9.2442026266416608</v>
      </c>
      <c r="BE59" s="90">
        <v>9.2989258911819892</v>
      </c>
      <c r="BF59" s="90">
        <v>9.35364915572233</v>
      </c>
      <c r="BG59" s="90">
        <v>9.4083724202626708</v>
      </c>
      <c r="BH59" s="90">
        <v>9.4630956848029992</v>
      </c>
      <c r="BI59" s="91">
        <v>9.5178189493433401</v>
      </c>
      <c r="BJ59" s="90">
        <v>9.5725422138836809</v>
      </c>
      <c r="BK59" s="99">
        <v>9.6272654784240093</v>
      </c>
      <c r="BL59" s="99">
        <v>9.6819887429643607</v>
      </c>
      <c r="BM59" s="99">
        <v>9.7367120075046998</v>
      </c>
      <c r="BN59" s="99">
        <v>9.7914352720450193</v>
      </c>
      <c r="BO59" s="99">
        <v>9.8461585365853708</v>
      </c>
      <c r="BP59" s="99">
        <v>9.9008818011257098</v>
      </c>
      <c r="BQ59" s="99">
        <v>9.9556050656660506</v>
      </c>
      <c r="BR59" s="99">
        <v>10.0103283302064</v>
      </c>
      <c r="BS59" s="99">
        <v>10.0650515947467</v>
      </c>
      <c r="BT59" s="99">
        <v>10.1197748592871</v>
      </c>
      <c r="BU59" s="99">
        <v>10.1744981238274</v>
      </c>
      <c r="BV59" s="99">
        <v>10.2292213883677</v>
      </c>
      <c r="BW59" s="99">
        <v>10.283944652908099</v>
      </c>
      <c r="BX59" s="99">
        <v>10.338667917448401</v>
      </c>
      <c r="BY59" s="99">
        <v>10.393391181988701</v>
      </c>
      <c r="BZ59" s="99">
        <v>10.4481144465291</v>
      </c>
      <c r="CA59" s="99">
        <v>10.5028377110694</v>
      </c>
      <c r="CB59" s="99">
        <v>10.5575609756098</v>
      </c>
      <c r="CC59" s="99">
        <v>10.6122842401501</v>
      </c>
      <c r="CD59" s="99">
        <v>10.6670075046904</v>
      </c>
      <c r="CE59" s="99">
        <v>10.721730769230801</v>
      </c>
      <c r="CF59" s="99">
        <v>10.776454033771101</v>
      </c>
      <c r="CG59" s="99">
        <v>10.831177298311401</v>
      </c>
      <c r="CH59" s="99">
        <v>10.8859005628518</v>
      </c>
      <c r="CI59" s="99">
        <v>10.9406238273921</v>
      </c>
      <c r="CJ59" s="99">
        <v>10.9953470919325</v>
      </c>
      <c r="CK59" s="99">
        <v>11.0500703564728</v>
      </c>
      <c r="CL59" s="99">
        <v>11.1047936210131</v>
      </c>
      <c r="CM59" s="99">
        <v>11.159516885553501</v>
      </c>
      <c r="CN59" s="99">
        <v>11.214240150093801</v>
      </c>
      <c r="CO59" s="99">
        <v>11.268963414634101</v>
      </c>
      <c r="CP59" s="99">
        <v>11.3236866791745</v>
      </c>
      <c r="CQ59" s="99">
        <v>11.3784099437148</v>
      </c>
      <c r="CR59" s="99">
        <v>11.4331332082552</v>
      </c>
      <c r="CS59" s="99">
        <v>11.487856472795499</v>
      </c>
      <c r="CT59" s="99">
        <v>11.542579737335799</v>
      </c>
      <c r="CU59" s="99">
        <v>11.597303001876201</v>
      </c>
      <c r="CV59" s="99">
        <v>11.652026266416501</v>
      </c>
      <c r="CW59" s="99">
        <v>11.706749530956801</v>
      </c>
      <c r="CX59" s="99">
        <v>11.7614727954972</v>
      </c>
      <c r="CY59" s="99">
        <v>11.8161960600375</v>
      </c>
      <c r="CZ59" s="99">
        <v>11.870919324577899</v>
      </c>
      <c r="DA59" s="99">
        <v>11.925642589118199</v>
      </c>
      <c r="DB59" s="99">
        <v>11.980365853658499</v>
      </c>
      <c r="DC59" s="99">
        <v>12.035089118198901</v>
      </c>
      <c r="DD59" s="99">
        <v>12.089812382739201</v>
      </c>
      <c r="DE59" s="99">
        <v>12.144535647279501</v>
      </c>
      <c r="DF59" s="99">
        <v>12.1992589118199</v>
      </c>
      <c r="DG59" s="99">
        <v>12.2539821763602</v>
      </c>
      <c r="DH59" s="99">
        <v>12.308705440900599</v>
      </c>
      <c r="DI59" s="99">
        <v>12.363428705440899</v>
      </c>
      <c r="DJ59" s="99">
        <v>12.418151969981199</v>
      </c>
      <c r="DK59" s="99">
        <v>12.472875234521601</v>
      </c>
      <c r="DL59" s="99">
        <v>12.5275984990619</v>
      </c>
      <c r="DM59" s="99">
        <v>12.5823217636023</v>
      </c>
      <c r="DN59" s="99">
        <v>12.6370450281426</v>
      </c>
      <c r="DO59" s="99">
        <v>12.6917682926829</v>
      </c>
      <c r="DP59" s="99">
        <v>12.746491557223299</v>
      </c>
      <c r="DQ59" s="99">
        <v>12.801214821763599</v>
      </c>
      <c r="DR59" s="99">
        <v>12.855938086303899</v>
      </c>
      <c r="DS59" s="99">
        <v>12.9106613508443</v>
      </c>
      <c r="DT59" s="99">
        <v>12.9653846153846</v>
      </c>
      <c r="DU59" s="99">
        <v>13.020107879925</v>
      </c>
      <c r="DV59" s="99">
        <v>13.0748311444653</v>
      </c>
      <c r="DW59" s="99">
        <v>13.1295544090056</v>
      </c>
      <c r="DX59" s="99">
        <v>13.184277673545999</v>
      </c>
      <c r="DY59" s="99">
        <v>13.239000938086299</v>
      </c>
      <c r="DZ59" s="99">
        <v>13.293724202626599</v>
      </c>
      <c r="EA59" s="99">
        <v>13.348447467167</v>
      </c>
      <c r="EB59" s="99">
        <v>13.4031707317073</v>
      </c>
      <c r="EC59" s="99">
        <v>13.4578939962477</v>
      </c>
      <c r="ED59" s="99">
        <v>13.512617260788</v>
      </c>
      <c r="EE59" s="99">
        <v>13.5673405253283</v>
      </c>
      <c r="EF59" s="99">
        <v>13.622063789868699</v>
      </c>
      <c r="EG59" s="99">
        <v>13.676787054409001</v>
      </c>
      <c r="EH59" s="99">
        <v>13.731510318949301</v>
      </c>
      <c r="EI59" s="99">
        <v>13.7862335834897</v>
      </c>
      <c r="EJ59" s="99">
        <v>13.84095684803</v>
      </c>
      <c r="EK59" s="99">
        <v>13.8956801125704</v>
      </c>
      <c r="EL59" s="99">
        <v>13.9504033771107</v>
      </c>
      <c r="EM59" s="99">
        <v>14.005126641651</v>
      </c>
      <c r="EN59" s="99">
        <v>14.059849906191401</v>
      </c>
      <c r="EO59" s="99">
        <v>14.114573170731701</v>
      </c>
      <c r="EP59" s="99">
        <v>14.169296435272001</v>
      </c>
      <c r="EQ59" s="99">
        <v>14.2240196998124</v>
      </c>
      <c r="ER59" s="99">
        <v>14.2787429643527</v>
      </c>
      <c r="ES59" s="99">
        <v>14.3334662288931</v>
      </c>
      <c r="ET59" s="99">
        <v>14.3881894934334</v>
      </c>
      <c r="EU59" s="99">
        <v>14.4429127579737</v>
      </c>
      <c r="EV59" s="99">
        <v>14.497636022514101</v>
      </c>
      <c r="EW59" s="99">
        <v>14.552359287054401</v>
      </c>
      <c r="EX59" s="99">
        <v>14.607082551594701</v>
      </c>
      <c r="EY59" s="99">
        <v>14.6618058161351</v>
      </c>
      <c r="EZ59" s="99">
        <v>14.7165290806754</v>
      </c>
      <c r="FA59" s="99">
        <v>14.7712523452158</v>
      </c>
      <c r="FB59" s="99">
        <v>14.8259756097561</v>
      </c>
      <c r="FC59" s="99">
        <v>14.880698874296399</v>
      </c>
      <c r="FD59" s="99">
        <v>14.935422138836801</v>
      </c>
      <c r="FE59" s="99">
        <v>14.990145403377101</v>
      </c>
      <c r="FF59" s="99">
        <v>15.044868667917401</v>
      </c>
      <c r="FG59" s="99">
        <v>15.0995919324578</v>
      </c>
      <c r="FH59" s="99">
        <v>15.1543151969981</v>
      </c>
      <c r="FI59" s="99">
        <v>15.209038461538499</v>
      </c>
      <c r="FJ59" s="99">
        <v>15.263761726078799</v>
      </c>
      <c r="FK59" s="99">
        <v>15.318484990619099</v>
      </c>
      <c r="FL59" s="99">
        <v>15.373208255159501</v>
      </c>
      <c r="FM59" s="99">
        <v>15.427931519699801</v>
      </c>
      <c r="FN59" s="99">
        <v>15.482654784240101</v>
      </c>
      <c r="FO59" s="99">
        <v>15.5373780487805</v>
      </c>
      <c r="FP59" s="99">
        <v>15.5921013133208</v>
      </c>
      <c r="FQ59" s="99">
        <v>15.646824577861199</v>
      </c>
      <c r="FR59" s="99">
        <v>15.701547842401499</v>
      </c>
      <c r="FS59" s="99">
        <v>15.756271106941799</v>
      </c>
      <c r="FT59" s="99">
        <v>15.810994371482201</v>
      </c>
      <c r="FU59" s="99">
        <v>15.865717636022501</v>
      </c>
      <c r="FV59" s="99">
        <v>15.9204409005629</v>
      </c>
      <c r="FW59" s="99">
        <v>15.9751641651032</v>
      </c>
      <c r="FX59" s="99">
        <v>16.029887429643502</v>
      </c>
      <c r="FY59" s="99">
        <v>16.084610694183901</v>
      </c>
      <c r="FZ59" s="99">
        <v>16.139333958724201</v>
      </c>
      <c r="GA59" s="99">
        <v>16.194057223264501</v>
      </c>
      <c r="GB59" s="99">
        <v>16.2487804878049</v>
      </c>
      <c r="GC59" s="99">
        <v>16.3035037523452</v>
      </c>
      <c r="GD59" s="99">
        <v>16.3582270168855</v>
      </c>
      <c r="GE59" s="99">
        <v>16.4129502814259</v>
      </c>
      <c r="GF59" s="99">
        <v>16.4676735459662</v>
      </c>
      <c r="GG59" s="99">
        <v>16.522396810506599</v>
      </c>
      <c r="GH59" s="99">
        <v>16.577120075046899</v>
      </c>
      <c r="GI59" s="99">
        <v>16.631843339587199</v>
      </c>
      <c r="GJ59" s="99">
        <v>16.686566604127599</v>
      </c>
      <c r="GK59" s="99">
        <v>16.741289868667899</v>
      </c>
      <c r="GL59" s="99">
        <v>16.796013133208199</v>
      </c>
      <c r="GM59" s="99">
        <v>16.850736397748602</v>
      </c>
      <c r="GN59" s="99">
        <v>16.905459662288902</v>
      </c>
      <c r="GO59" s="99">
        <v>16.960182926829301</v>
      </c>
      <c r="GP59" s="99">
        <v>17.014906191369601</v>
      </c>
      <c r="GQ59" s="99">
        <v>17.069629455909901</v>
      </c>
      <c r="GR59" s="99">
        <v>17.1243527204503</v>
      </c>
      <c r="GS59" s="99">
        <v>17.1790759849906</v>
      </c>
      <c r="GT59" s="99">
        <v>17.2337992495309</v>
      </c>
      <c r="GU59" s="99">
        <v>17.2885225140713</v>
      </c>
      <c r="GV59" s="99">
        <v>17.3432457786116</v>
      </c>
      <c r="GW59" s="99">
        <v>17.397969043151999</v>
      </c>
      <c r="GX59" s="99">
        <v>17.452692307692299</v>
      </c>
      <c r="GY59" s="99">
        <v>17.507415572232599</v>
      </c>
      <c r="GZ59" s="99">
        <v>17.562138836772998</v>
      </c>
      <c r="HA59" s="99">
        <v>17.616862101313298</v>
      </c>
      <c r="HB59" s="99">
        <v>17.671585365853598</v>
      </c>
      <c r="HC59" s="99">
        <v>17.726308630394001</v>
      </c>
      <c r="HD59" s="99">
        <v>17.781031894934301</v>
      </c>
      <c r="HE59" s="99">
        <v>17.835755159474701</v>
      </c>
      <c r="HF59" s="99">
        <v>17.890478424015001</v>
      </c>
      <c r="HG59" s="99">
        <v>17.945201688555301</v>
      </c>
      <c r="HH59" s="99">
        <v>17.9999249530957</v>
      </c>
      <c r="HI59" s="99">
        <v>18.054648217636</v>
      </c>
      <c r="HJ59" s="99">
        <v>18.1093714821763</v>
      </c>
      <c r="HK59" s="99">
        <v>18.1640947467167</v>
      </c>
      <c r="HL59" s="99">
        <v>18.218818011257</v>
      </c>
      <c r="HM59" s="99">
        <v>18.273541275797399</v>
      </c>
      <c r="HN59" s="99">
        <v>18.328264540337699</v>
      </c>
      <c r="HO59" s="99">
        <v>18.382987804877999</v>
      </c>
      <c r="HP59" s="99">
        <v>18.437711069418398</v>
      </c>
      <c r="HQ59" s="99">
        <v>18.492434333958698</v>
      </c>
      <c r="HR59" s="99">
        <v>18.547157598498998</v>
      </c>
      <c r="HS59" s="99">
        <v>18.601880863039401</v>
      </c>
      <c r="HT59" s="99">
        <v>18.656604127579701</v>
      </c>
      <c r="HU59" s="99">
        <v>18.711327392120101</v>
      </c>
      <c r="HV59" s="99">
        <v>18.766050656660401</v>
      </c>
      <c r="HW59" s="99">
        <v>18.820773921200701</v>
      </c>
      <c r="HX59" s="99">
        <v>18.8754971857411</v>
      </c>
      <c r="HY59" s="99">
        <v>18.9302204502814</v>
      </c>
      <c r="HZ59" s="99">
        <v>18.9849437148217</v>
      </c>
      <c r="IA59" s="99">
        <v>19.039666979362099</v>
      </c>
      <c r="IB59" s="99">
        <v>19.094390243902399</v>
      </c>
      <c r="IC59" s="99">
        <v>19.149113508442799</v>
      </c>
      <c r="ID59" s="99">
        <v>19.203836772983099</v>
      </c>
      <c r="IE59" s="99">
        <v>19.258560037523399</v>
      </c>
      <c r="IF59" s="99">
        <v>19.313283302063802</v>
      </c>
      <c r="IG59" s="99">
        <v>19.368006566604102</v>
      </c>
      <c r="IH59" s="99">
        <v>19.422729831144402</v>
      </c>
      <c r="II59" s="99">
        <v>19.477453095684801</v>
      </c>
      <c r="IJ59" s="99">
        <v>19.532176360225101</v>
      </c>
      <c r="IK59" s="99">
        <v>19.586899624765501</v>
      </c>
      <c r="IL59" s="99">
        <v>19.6416228893058</v>
      </c>
      <c r="IM59" s="99">
        <v>19.6963461538461</v>
      </c>
      <c r="IN59" s="99">
        <v>19.7510694183865</v>
      </c>
      <c r="IO59" s="99">
        <v>19.8057926829268</v>
      </c>
      <c r="IP59" s="99">
        <v>19.860515947467199</v>
      </c>
      <c r="IQ59" s="99">
        <v>19.915239212007499</v>
      </c>
      <c r="IR59" s="99">
        <v>19.969962476547799</v>
      </c>
      <c r="IS59" s="99">
        <v>20.024685741088199</v>
      </c>
      <c r="IT59" s="99">
        <v>20.079409005628499</v>
      </c>
      <c r="IU59" s="99">
        <v>20.134132270168799</v>
      </c>
      <c r="IV59" s="99">
        <v>20.188855534709202</v>
      </c>
      <c r="IW59" s="99">
        <v>20.243578799249502</v>
      </c>
      <c r="IX59" s="99">
        <v>20.298302063789901</v>
      </c>
      <c r="IY59" s="99">
        <v>20.353025328330201</v>
      </c>
      <c r="IZ59" s="99">
        <v>20.407748592870501</v>
      </c>
      <c r="JA59" s="99">
        <v>20.4624718574109</v>
      </c>
      <c r="JB59" s="99">
        <v>20.5171951219512</v>
      </c>
      <c r="JC59" s="99">
        <v>20.5719183864915</v>
      </c>
      <c r="JD59" s="99">
        <v>20.6266416510319</v>
      </c>
      <c r="JE59" s="99">
        <v>20.6813649155722</v>
      </c>
      <c r="JF59" s="99">
        <v>20.736088180112599</v>
      </c>
      <c r="JG59" s="99">
        <v>20.790811444652899</v>
      </c>
      <c r="JH59" s="99">
        <v>20.845534709193199</v>
      </c>
      <c r="JI59" s="99">
        <v>20.900257973733599</v>
      </c>
      <c r="JJ59" s="99">
        <v>20.954981238273898</v>
      </c>
      <c r="JK59" s="99">
        <v>21.009704502814198</v>
      </c>
      <c r="JL59" s="99">
        <v>21.064427767354601</v>
      </c>
      <c r="JM59" s="99">
        <v>21.119151031894901</v>
      </c>
      <c r="JN59" s="99">
        <v>21.173874296435301</v>
      </c>
      <c r="JO59" s="99">
        <v>21.228597560975601</v>
      </c>
      <c r="JP59" s="99">
        <v>21.283320825515901</v>
      </c>
      <c r="JQ59" s="99">
        <v>21.3380440900563</v>
      </c>
      <c r="JR59" s="99">
        <v>21.3927673545966</v>
      </c>
      <c r="JS59" s="99">
        <v>21.4474906191369</v>
      </c>
      <c r="JT59" s="99">
        <v>21.5022138836773</v>
      </c>
      <c r="JU59" s="99">
        <v>21.5569371482176</v>
      </c>
      <c r="JV59" s="99">
        <v>21.611660412757999</v>
      </c>
      <c r="JW59" s="99">
        <v>21.666383677298299</v>
      </c>
      <c r="JX59" s="99">
        <v>21.721106941838599</v>
      </c>
      <c r="JY59" s="99">
        <v>21.775830206378998</v>
      </c>
      <c r="JZ59" s="99">
        <v>21.830553470919298</v>
      </c>
      <c r="KA59" s="99">
        <v>21.885276735459598</v>
      </c>
      <c r="KB59" s="99">
        <v>21.94</v>
      </c>
      <c r="KC59" s="99">
        <v>21.994723264540301</v>
      </c>
      <c r="KD59" s="99">
        <v>22.049446529080701</v>
      </c>
      <c r="KE59" s="99">
        <v>22.104169793621001</v>
      </c>
      <c r="KF59" s="99">
        <v>22.158893058161301</v>
      </c>
      <c r="KG59" s="99">
        <v>22.2136163227017</v>
      </c>
      <c r="KH59" s="99">
        <v>22.268339587242</v>
      </c>
      <c r="KI59" s="99">
        <v>22.3230628517823</v>
      </c>
      <c r="KJ59" s="99">
        <v>22.377786116322699</v>
      </c>
      <c r="KK59" s="99">
        <v>22.432509380862999</v>
      </c>
      <c r="KL59" s="99">
        <v>22.487232645403399</v>
      </c>
      <c r="KM59" s="99">
        <v>22.541955909943699</v>
      </c>
      <c r="KN59" s="99">
        <v>22.596679174483999</v>
      </c>
      <c r="KO59" s="99">
        <v>22.651402439024402</v>
      </c>
      <c r="KP59" s="99">
        <v>22.706125703564702</v>
      </c>
      <c r="KQ59" s="99">
        <v>22.760848968105101</v>
      </c>
      <c r="KR59" s="99">
        <v>22.815572232645401</v>
      </c>
      <c r="KS59" s="99">
        <v>22.870295497185701</v>
      </c>
      <c r="KT59" s="99">
        <v>22.925018761726101</v>
      </c>
      <c r="KU59" s="99">
        <v>22.979742026266401</v>
      </c>
      <c r="KV59" s="99">
        <v>23.0344652908067</v>
      </c>
      <c r="KW59" s="99">
        <v>23.0891885553471</v>
      </c>
      <c r="KX59" s="99">
        <v>23.1439118198874</v>
      </c>
      <c r="KY59" s="99">
        <v>23.198635084427799</v>
      </c>
      <c r="KZ59" s="99">
        <v>23.253358348968099</v>
      </c>
      <c r="LA59" s="99">
        <v>23.308081613508399</v>
      </c>
      <c r="LB59" s="99">
        <v>23.362804878048799</v>
      </c>
      <c r="LC59" s="99">
        <v>23.417528142589099</v>
      </c>
      <c r="LD59" s="99">
        <v>23.472251407129399</v>
      </c>
      <c r="LE59" s="99">
        <v>23.526974671669802</v>
      </c>
      <c r="LF59" s="99">
        <v>23.581697936210102</v>
      </c>
      <c r="LG59" s="99">
        <v>23.636421200750501</v>
      </c>
      <c r="LH59" s="99">
        <v>23.691144465290801</v>
      </c>
      <c r="LI59" s="99">
        <v>23.745867729831101</v>
      </c>
      <c r="LJ59" s="99">
        <v>23.8005909943715</v>
      </c>
      <c r="LK59" s="99">
        <v>23.8553142589118</v>
      </c>
      <c r="LL59" s="99">
        <v>23.9100375234521</v>
      </c>
      <c r="LM59" s="99">
        <v>23.9647607879925</v>
      </c>
      <c r="LN59" s="99">
        <v>24.0194840525328</v>
      </c>
      <c r="LO59" s="99">
        <v>24.074207317073199</v>
      </c>
      <c r="LP59" s="99">
        <v>24.128930581613499</v>
      </c>
      <c r="LQ59" s="99">
        <v>24.183653846153799</v>
      </c>
      <c r="LR59" s="99">
        <v>24.238377110694199</v>
      </c>
      <c r="LS59" s="99">
        <v>24.293100375234499</v>
      </c>
      <c r="LT59" s="99">
        <v>24.347823639774798</v>
      </c>
      <c r="LU59" s="99">
        <v>24.402546904315201</v>
      </c>
      <c r="LV59" s="99">
        <v>24.457270168855501</v>
      </c>
      <c r="LW59" s="99">
        <v>24.511993433395901</v>
      </c>
      <c r="LX59" s="99">
        <v>24.566716697936201</v>
      </c>
      <c r="LY59" s="99">
        <v>24.621439962476501</v>
      </c>
      <c r="LZ59" s="99">
        <v>24.6761632270169</v>
      </c>
      <c r="MA59" s="99">
        <v>24.7308864915572</v>
      </c>
      <c r="MB59" s="99">
        <v>24.7856097560975</v>
      </c>
      <c r="MC59" s="99">
        <v>24.8403330206379</v>
      </c>
      <c r="MD59" s="99">
        <v>24.8950562851782</v>
      </c>
      <c r="ME59" s="99">
        <v>24.949779549718599</v>
      </c>
      <c r="MF59" s="99">
        <v>25.004502814258899</v>
      </c>
      <c r="MG59" s="99">
        <v>25.059226078799199</v>
      </c>
      <c r="MH59" s="99">
        <v>25.113949343339598</v>
      </c>
      <c r="MI59" s="99">
        <v>25.168672607879898</v>
      </c>
      <c r="MJ59" s="99">
        <v>25.223395872420198</v>
      </c>
      <c r="MK59" s="99">
        <v>25.278119136960601</v>
      </c>
      <c r="ML59" s="99">
        <v>25.332842401500901</v>
      </c>
      <c r="MM59" s="99">
        <v>25.387565666041301</v>
      </c>
      <c r="MN59" s="99">
        <v>25.442288930581601</v>
      </c>
      <c r="MO59" s="99">
        <v>25.497012195121901</v>
      </c>
      <c r="MP59" s="99">
        <v>25.5517354596623</v>
      </c>
      <c r="MQ59" s="99">
        <v>25.6064587242026</v>
      </c>
      <c r="MR59" s="99">
        <v>25.6611819887429</v>
      </c>
      <c r="MS59" s="99">
        <v>25.715905253283299</v>
      </c>
      <c r="MT59" s="99">
        <v>25.770628517823599</v>
      </c>
      <c r="MU59" s="99">
        <v>25.825351782363999</v>
      </c>
      <c r="MV59" s="99">
        <v>25.880075046904299</v>
      </c>
      <c r="MW59" s="99">
        <v>25.934798311444599</v>
      </c>
      <c r="MX59" s="99">
        <v>25.989521575984998</v>
      </c>
      <c r="MY59" s="99">
        <v>26.044244840525302</v>
      </c>
      <c r="MZ59" s="99">
        <v>26.098968105065701</v>
      </c>
      <c r="NA59" s="99">
        <v>26.153691369606001</v>
      </c>
      <c r="NB59" s="99">
        <v>26.208414634146301</v>
      </c>
      <c r="NC59" s="99">
        <v>26.263137898686701</v>
      </c>
      <c r="ND59" s="99">
        <v>26.317861163227001</v>
      </c>
      <c r="NE59" s="99">
        <v>26.3725844277673</v>
      </c>
      <c r="NF59" s="99">
        <v>26.4273076923077</v>
      </c>
      <c r="NG59" s="99">
        <v>26.482030956848</v>
      </c>
      <c r="NH59" s="99">
        <v>26.536754221388399</v>
      </c>
      <c r="NI59" s="99">
        <v>26.591477485928699</v>
      </c>
      <c r="NJ59" s="99">
        <v>26.646200750468999</v>
      </c>
      <c r="NK59" s="99">
        <v>26.700924015009399</v>
      </c>
      <c r="NL59" s="99">
        <v>26.755647279549699</v>
      </c>
      <c r="NM59" s="99">
        <v>26.810370544089999</v>
      </c>
      <c r="NN59" s="99">
        <v>26.865093808630402</v>
      </c>
      <c r="NO59" s="99">
        <v>26.919817073170702</v>
      </c>
      <c r="NP59" s="99">
        <v>26.974540337711101</v>
      </c>
      <c r="NQ59" s="99">
        <v>27.029263602251401</v>
      </c>
      <c r="NR59" s="99">
        <v>27.083986866791701</v>
      </c>
      <c r="NS59" s="99">
        <v>27.1387101313321</v>
      </c>
      <c r="NT59" s="99">
        <v>27.1934333958724</v>
      </c>
      <c r="NU59" s="99">
        <v>27.2481566604127</v>
      </c>
      <c r="NV59" s="99">
        <v>27.3028799249531</v>
      </c>
      <c r="NW59" s="99">
        <v>27.3576031894934</v>
      </c>
      <c r="NX59" s="99">
        <v>27.412326454033799</v>
      </c>
      <c r="NY59" s="99">
        <v>27.467049718574099</v>
      </c>
      <c r="NZ59" s="99">
        <v>27.521772983114399</v>
      </c>
      <c r="OA59" s="99">
        <v>27.576496247654799</v>
      </c>
      <c r="OB59" s="99">
        <v>27.631219512195099</v>
      </c>
      <c r="OC59" s="99">
        <v>27.685942776735398</v>
      </c>
      <c r="OD59" s="99">
        <v>27.740666041275801</v>
      </c>
      <c r="OE59" s="99">
        <v>27.795389305816101</v>
      </c>
      <c r="OF59" s="99">
        <v>27.850112570356501</v>
      </c>
      <c r="OG59" s="99">
        <v>27.904835834896801</v>
      </c>
      <c r="OH59" s="99">
        <v>27.959559099437101</v>
      </c>
      <c r="OI59" s="99">
        <v>28.0142823639775</v>
      </c>
      <c r="OJ59" s="99">
        <v>28.0690056285178</v>
      </c>
      <c r="OK59" s="99">
        <v>28.1237288930581</v>
      </c>
      <c r="OL59" s="99">
        <v>28.1784521575985</v>
      </c>
      <c r="OM59" s="99">
        <v>28.2331754221388</v>
      </c>
      <c r="ON59" s="99">
        <v>28.287898686679199</v>
      </c>
      <c r="OO59" s="99">
        <v>28.342621951219499</v>
      </c>
      <c r="OP59" s="99">
        <v>28.397345215759799</v>
      </c>
      <c r="OQ59" s="99">
        <v>28.452068480300198</v>
      </c>
      <c r="OR59" s="99">
        <v>28.506791744840498</v>
      </c>
      <c r="OS59" s="99">
        <v>28.561515009380798</v>
      </c>
      <c r="OT59" s="99">
        <v>28.616238273921201</v>
      </c>
      <c r="OU59" s="99">
        <v>28.670961538461501</v>
      </c>
      <c r="OV59" s="99">
        <v>28.725684803001901</v>
      </c>
      <c r="OW59" s="99">
        <v>28.780408067542201</v>
      </c>
      <c r="OX59" s="99">
        <v>28.835131332082501</v>
      </c>
      <c r="OY59" s="99">
        <v>28.8898545966229</v>
      </c>
      <c r="OZ59" s="99">
        <v>28.9445778611632</v>
      </c>
      <c r="PA59" s="99">
        <v>28.9993011257035</v>
      </c>
      <c r="PB59" s="99">
        <v>29.054024390243899</v>
      </c>
      <c r="PC59" s="99">
        <v>29.108747654784199</v>
      </c>
      <c r="PD59" s="99">
        <v>29.163470919324599</v>
      </c>
      <c r="PE59" s="99">
        <v>29.218194183864899</v>
      </c>
      <c r="PF59" s="99">
        <v>29.272917448405199</v>
      </c>
      <c r="PG59" s="99">
        <v>29.327640712945598</v>
      </c>
      <c r="PH59" s="99">
        <v>29.382363977485898</v>
      </c>
      <c r="PI59" s="99">
        <v>29.437087242026301</v>
      </c>
      <c r="PJ59" s="99">
        <v>29.491810506566601</v>
      </c>
      <c r="PK59" s="99">
        <v>29.546533771106901</v>
      </c>
      <c r="PL59" s="99">
        <v>29.601257035647301</v>
      </c>
      <c r="PM59" s="99">
        <v>29.655980300187601</v>
      </c>
      <c r="PN59" s="99">
        <v>29.710703564727901</v>
      </c>
      <c r="PO59" s="99">
        <v>29.7654268292683</v>
      </c>
      <c r="PP59" s="99">
        <v>29.8201500938086</v>
      </c>
      <c r="PQ59" s="99">
        <v>29.874873358348999</v>
      </c>
      <c r="PR59" s="99">
        <v>29.929596622889299</v>
      </c>
      <c r="PS59" s="99">
        <v>29.984319887429599</v>
      </c>
      <c r="PT59" s="99">
        <v>30.039043151969999</v>
      </c>
      <c r="PU59" s="99">
        <v>30.093766416510299</v>
      </c>
      <c r="PV59" s="99">
        <v>30.148489681050599</v>
      </c>
      <c r="PW59" s="99">
        <v>30.203212945591002</v>
      </c>
      <c r="PX59" s="99">
        <v>30.257936210131302</v>
      </c>
      <c r="PY59" s="99">
        <v>30.312659474671701</v>
      </c>
      <c r="PZ59" s="99">
        <v>30.367382739212001</v>
      </c>
      <c r="QA59" s="99">
        <v>30.422106003752301</v>
      </c>
      <c r="QB59" s="99">
        <v>30.4768292682927</v>
      </c>
      <c r="QC59" s="99">
        <v>30.531552532833</v>
      </c>
      <c r="QD59" s="99">
        <v>30.5862757973733</v>
      </c>
      <c r="QE59" s="99">
        <v>30.6409990619137</v>
      </c>
      <c r="QF59" s="99">
        <v>30.695722326454</v>
      </c>
      <c r="QG59" s="99">
        <v>30.750445590994399</v>
      </c>
      <c r="QH59" s="99">
        <v>30.805168855534699</v>
      </c>
      <c r="QI59" s="99">
        <v>30.859892120074999</v>
      </c>
      <c r="QJ59" s="99">
        <v>30.914615384615399</v>
      </c>
      <c r="QK59" s="99">
        <v>30.969338649155699</v>
      </c>
      <c r="QL59" s="99">
        <v>31.024061913695999</v>
      </c>
      <c r="QM59" s="99">
        <v>31.078785178236402</v>
      </c>
      <c r="QN59" s="99">
        <v>31.133508442776701</v>
      </c>
      <c r="QO59" s="99">
        <v>31.188231707317101</v>
      </c>
      <c r="QP59" s="99">
        <v>31.242954971857401</v>
      </c>
      <c r="QQ59" s="99">
        <v>31.297678236397701</v>
      </c>
      <c r="QR59" s="99">
        <v>31.3524015009381</v>
      </c>
      <c r="QS59" s="99">
        <v>31.4071247654784</v>
      </c>
      <c r="QT59" s="99">
        <v>31.4618480300187</v>
      </c>
      <c r="QU59" s="99">
        <v>31.5165712945591</v>
      </c>
      <c r="QV59" s="99">
        <v>31.5712945590994</v>
      </c>
      <c r="QW59" s="99">
        <v>31.626017823639799</v>
      </c>
      <c r="QX59" s="99">
        <v>31.680741088180099</v>
      </c>
      <c r="QY59" s="99">
        <v>31.735464352720399</v>
      </c>
      <c r="QZ59" s="99">
        <v>31.790187617260798</v>
      </c>
      <c r="RA59" s="99">
        <v>31.844910881801098</v>
      </c>
      <c r="RB59" s="99">
        <v>31.899634146341398</v>
      </c>
      <c r="RC59" s="99">
        <v>31.954357410881801</v>
      </c>
      <c r="RD59" s="99">
        <v>32.009080675422098</v>
      </c>
      <c r="RE59" s="99">
        <v>32.063803939962497</v>
      </c>
      <c r="RF59" s="99">
        <v>32.118527204502797</v>
      </c>
      <c r="RG59" s="99">
        <v>32.173250469043097</v>
      </c>
      <c r="RH59" s="99">
        <v>32.227973733583497</v>
      </c>
      <c r="RI59" s="99">
        <v>32.282696998123797</v>
      </c>
      <c r="RJ59" s="99">
        <v>32.337420262664097</v>
      </c>
      <c r="RK59" s="99">
        <v>32.392143527204503</v>
      </c>
      <c r="RL59" s="99">
        <v>32.446866791744803</v>
      </c>
      <c r="RM59" s="99">
        <v>32.501590056285202</v>
      </c>
      <c r="RN59" s="99">
        <v>32.556313320825502</v>
      </c>
      <c r="RO59" s="99">
        <v>32.611036585365802</v>
      </c>
      <c r="RP59" s="99">
        <v>32.665759849906202</v>
      </c>
      <c r="RQ59" s="99">
        <v>32.720483114446502</v>
      </c>
      <c r="RR59" s="99">
        <v>32.775206378986901</v>
      </c>
      <c r="RS59" s="99">
        <v>32.829929643527201</v>
      </c>
      <c r="RT59" s="99">
        <v>32.884652908067501</v>
      </c>
      <c r="RU59" s="99">
        <v>32.939376172607901</v>
      </c>
      <c r="RV59" s="99">
        <v>32.994099437148201</v>
      </c>
      <c r="RW59" s="99">
        <v>33.048822701688501</v>
      </c>
      <c r="RX59" s="99">
        <v>33.1035459662289</v>
      </c>
      <c r="RY59" s="99">
        <v>33.1582692307692</v>
      </c>
      <c r="RZ59" s="99">
        <v>33.212992495309599</v>
      </c>
      <c r="SA59" s="99">
        <v>33.267715759849899</v>
      </c>
      <c r="SB59" s="99">
        <v>33.322439024390199</v>
      </c>
      <c r="SC59" s="99">
        <v>33.377162288930599</v>
      </c>
      <c r="SD59" s="99">
        <v>33.431885553470899</v>
      </c>
      <c r="SE59" s="99">
        <v>33.486608818011199</v>
      </c>
      <c r="SF59" s="99">
        <v>33.541332082551598</v>
      </c>
      <c r="SG59" s="99">
        <v>33.596055347091898</v>
      </c>
      <c r="SH59" s="99">
        <v>33.650778611632298</v>
      </c>
      <c r="SI59" s="99">
        <v>33.705501876172598</v>
      </c>
      <c r="SJ59" s="99">
        <v>33.760225140712897</v>
      </c>
      <c r="SK59" s="99">
        <v>33.814948405253297</v>
      </c>
      <c r="SL59" s="99">
        <v>33.869671669793597</v>
      </c>
      <c r="SM59" s="99">
        <v>33.924394934333897</v>
      </c>
      <c r="SN59" s="99">
        <v>33.979118198874303</v>
      </c>
      <c r="SO59" s="99">
        <v>34.033841463414603</v>
      </c>
      <c r="SP59" s="99">
        <v>34.088564727955003</v>
      </c>
      <c r="SQ59" s="99">
        <v>34.143287992495303</v>
      </c>
      <c r="SR59" s="99">
        <v>34.198011257035603</v>
      </c>
      <c r="SS59" s="99">
        <v>34.252734521576002</v>
      </c>
      <c r="ST59" s="99">
        <v>34.307457786116302</v>
      </c>
      <c r="SU59" s="99">
        <v>34.362181050656602</v>
      </c>
      <c r="SV59" s="99">
        <v>34.416904315197002</v>
      </c>
      <c r="SW59" s="99">
        <v>34.471627579737302</v>
      </c>
      <c r="SX59" s="99">
        <v>34.526350844277701</v>
      </c>
      <c r="SY59" s="99">
        <v>34.581074108818001</v>
      </c>
      <c r="SZ59" s="99">
        <v>34.635797373358301</v>
      </c>
      <c r="TA59" s="99">
        <v>34.6905206378987</v>
      </c>
      <c r="TB59" s="99">
        <v>34.745243902439</v>
      </c>
      <c r="TC59" s="99">
        <v>34.7999671669793</v>
      </c>
      <c r="TD59" s="99">
        <v>34.8546904315197</v>
      </c>
      <c r="TE59" s="99">
        <v>34.90941369606</v>
      </c>
      <c r="TF59" s="99">
        <v>34.964136960600399</v>
      </c>
      <c r="TG59" s="99">
        <v>35.018860225140699</v>
      </c>
      <c r="TH59" s="99">
        <v>35.073583489680999</v>
      </c>
      <c r="TI59" s="99">
        <v>35.128306754221398</v>
      </c>
      <c r="TJ59" s="99">
        <v>35.183030018761698</v>
      </c>
      <c r="TK59" s="99">
        <v>35.237753283301998</v>
      </c>
      <c r="TL59" s="99">
        <v>35.292476547842398</v>
      </c>
      <c r="TM59" s="99">
        <v>35.347199812382698</v>
      </c>
      <c r="TN59" s="99">
        <v>35.401923076923097</v>
      </c>
      <c r="TO59" s="99">
        <v>35.456646341463397</v>
      </c>
      <c r="TP59" s="99">
        <v>35.511369606003697</v>
      </c>
      <c r="TQ59" s="99">
        <v>35.566092870544097</v>
      </c>
      <c r="TR59" s="99">
        <v>35.620816135084397</v>
      </c>
      <c r="TS59" s="99">
        <v>35.675539399624697</v>
      </c>
      <c r="TT59" s="99">
        <v>35.730262664165103</v>
      </c>
      <c r="TU59" s="99">
        <v>35.784985928705403</v>
      </c>
      <c r="TV59" s="99">
        <v>35.839709193245803</v>
      </c>
      <c r="TW59" s="99">
        <v>35.894432457786102</v>
      </c>
      <c r="TX59" s="99">
        <v>35.949155722326402</v>
      </c>
      <c r="TY59" s="99">
        <v>36.003878986866802</v>
      </c>
      <c r="TZ59" s="99">
        <v>36.058602251407102</v>
      </c>
      <c r="UA59" s="99">
        <v>36.113325515947501</v>
      </c>
      <c r="UB59" s="99">
        <v>36.168048780487801</v>
      </c>
      <c r="UC59" s="99">
        <v>36.222772045028101</v>
      </c>
      <c r="UD59" s="99">
        <v>36.277495309568501</v>
      </c>
      <c r="UE59" s="99">
        <v>36.332218574108801</v>
      </c>
      <c r="UF59" s="99">
        <v>36.386941838649101</v>
      </c>
      <c r="UG59" s="99">
        <v>36.4416651031895</v>
      </c>
      <c r="UH59" s="99">
        <v>36.4963883677298</v>
      </c>
      <c r="UI59" s="99">
        <v>36.551111632270199</v>
      </c>
      <c r="UJ59" s="99">
        <v>36.605834896810499</v>
      </c>
      <c r="UK59" s="99">
        <v>36.660558161350799</v>
      </c>
      <c r="UL59" s="99">
        <v>36.715281425891199</v>
      </c>
      <c r="UM59" s="99">
        <v>36.770004690431499</v>
      </c>
      <c r="UN59" s="99">
        <v>36.824727954971799</v>
      </c>
      <c r="UO59" s="99">
        <v>36.879451219512198</v>
      </c>
      <c r="UP59" s="99">
        <v>36.934174484052498</v>
      </c>
      <c r="UQ59" s="99">
        <v>36.988897748592898</v>
      </c>
      <c r="UR59" s="99">
        <v>37.043621013133198</v>
      </c>
      <c r="US59" s="99">
        <v>37.098344277673498</v>
      </c>
      <c r="UT59" s="99">
        <v>37.153067542213897</v>
      </c>
    </row>
    <row r="60" spans="1:566" x14ac:dyDescent="0.2">
      <c r="A60" s="89">
        <v>27</v>
      </c>
      <c r="B60" s="90">
        <v>6.23</v>
      </c>
      <c r="C60" s="90">
        <v>6.28</v>
      </c>
      <c r="D60" s="90">
        <v>6.34</v>
      </c>
      <c r="E60" s="90">
        <v>6.39</v>
      </c>
      <c r="F60" s="90">
        <v>6.45</v>
      </c>
      <c r="G60" s="90">
        <v>6.5</v>
      </c>
      <c r="H60" s="90">
        <v>6.56</v>
      </c>
      <c r="I60" s="90">
        <v>6.61</v>
      </c>
      <c r="J60" s="90">
        <v>6.67</v>
      </c>
      <c r="K60" s="90">
        <v>6.72</v>
      </c>
      <c r="L60" s="90">
        <v>6.77</v>
      </c>
      <c r="M60" s="90">
        <v>6.83</v>
      </c>
      <c r="N60" s="90">
        <v>6.88</v>
      </c>
      <c r="O60" s="90">
        <v>6.94</v>
      </c>
      <c r="P60" s="90">
        <v>6.99</v>
      </c>
      <c r="Q60" s="90">
        <v>7.05</v>
      </c>
      <c r="R60" s="90">
        <v>7.1</v>
      </c>
      <c r="S60" s="90">
        <v>7.15</v>
      </c>
      <c r="T60" s="90">
        <v>7.21</v>
      </c>
      <c r="U60" s="91">
        <v>7.26</v>
      </c>
      <c r="V60" s="90">
        <v>7.32</v>
      </c>
      <c r="W60" s="90">
        <v>7.37</v>
      </c>
      <c r="X60" s="90">
        <v>7.43</v>
      </c>
      <c r="Y60" s="90">
        <v>7.48</v>
      </c>
      <c r="Z60" s="90">
        <v>7.53</v>
      </c>
      <c r="AA60" s="90">
        <v>7.59</v>
      </c>
      <c r="AB60" s="90">
        <v>7.64</v>
      </c>
      <c r="AC60" s="90">
        <v>7.7</v>
      </c>
      <c r="AD60" s="90">
        <v>7.75</v>
      </c>
      <c r="AE60" s="90">
        <v>7.81</v>
      </c>
      <c r="AF60" s="90">
        <v>7.86</v>
      </c>
      <c r="AG60" s="90">
        <v>7.91</v>
      </c>
      <c r="AH60" s="90">
        <v>7.97</v>
      </c>
      <c r="AI60" s="90">
        <v>8.02</v>
      </c>
      <c r="AJ60" s="90">
        <v>8.08</v>
      </c>
      <c r="AK60" s="90">
        <v>8.1300000000000008</v>
      </c>
      <c r="AL60" s="90">
        <v>8.19</v>
      </c>
      <c r="AM60" s="90">
        <v>8.24</v>
      </c>
      <c r="AN60" s="90">
        <v>8.2899999999999991</v>
      </c>
      <c r="AO60" s="91">
        <v>8.35</v>
      </c>
      <c r="AP60" s="90">
        <v>8.4033076923076901</v>
      </c>
      <c r="AQ60" s="90">
        <v>8.4576275797373395</v>
      </c>
      <c r="AR60" s="90">
        <v>8.5119474671669799</v>
      </c>
      <c r="AS60" s="90">
        <v>8.5662673545966204</v>
      </c>
      <c r="AT60" s="90">
        <v>8.6205872420262697</v>
      </c>
      <c r="AU60" s="90">
        <v>8.6749071294559101</v>
      </c>
      <c r="AV60" s="90">
        <v>8.7292270168855506</v>
      </c>
      <c r="AW60" s="90">
        <v>8.7835469043151999</v>
      </c>
      <c r="AX60" s="90">
        <v>8.8378667917448404</v>
      </c>
      <c r="AY60" s="90">
        <v>8.8921866791744808</v>
      </c>
      <c r="AZ60" s="90">
        <v>8.9465065666041301</v>
      </c>
      <c r="BA60" s="90">
        <v>9.0008264540337706</v>
      </c>
      <c r="BB60" s="90">
        <v>9.0551463414634092</v>
      </c>
      <c r="BC60" s="90">
        <v>9.1094662288930603</v>
      </c>
      <c r="BD60" s="90">
        <v>9.1637861163227008</v>
      </c>
      <c r="BE60" s="90">
        <v>9.2181060037523395</v>
      </c>
      <c r="BF60" s="90">
        <v>9.2724258911819906</v>
      </c>
      <c r="BG60" s="90">
        <v>9.3267457786116292</v>
      </c>
      <c r="BH60" s="90">
        <v>9.3810656660412803</v>
      </c>
      <c r="BI60" s="91">
        <v>9.4353855534709208</v>
      </c>
      <c r="BJ60" s="90">
        <v>9.4897054409005595</v>
      </c>
      <c r="BK60" s="99">
        <v>9.5440253283302106</v>
      </c>
      <c r="BL60" s="99">
        <v>9.5983452157598492</v>
      </c>
      <c r="BM60" s="99">
        <v>9.6526651031894897</v>
      </c>
      <c r="BN60" s="99">
        <v>9.7069849906191408</v>
      </c>
      <c r="BO60" s="99">
        <v>9.7613048780487794</v>
      </c>
      <c r="BP60" s="99">
        <v>9.8156247654784199</v>
      </c>
      <c r="BQ60" s="99">
        <v>9.8699446529080692</v>
      </c>
      <c r="BR60" s="99">
        <v>9.9242645403377097</v>
      </c>
      <c r="BS60" s="99">
        <v>9.9785844277673501</v>
      </c>
      <c r="BT60" s="99">
        <v>10.032904315196999</v>
      </c>
      <c r="BU60" s="99">
        <v>10.087224202626601</v>
      </c>
      <c r="BV60" s="99">
        <v>10.1415440900563</v>
      </c>
      <c r="BW60" s="99">
        <v>10.195863977485899</v>
      </c>
      <c r="BX60" s="99">
        <v>10.2501838649156</v>
      </c>
      <c r="BY60" s="99">
        <v>10.3045037523452</v>
      </c>
      <c r="BZ60" s="99">
        <v>10.358823639774901</v>
      </c>
      <c r="CA60" s="99">
        <v>10.4131435272045</v>
      </c>
      <c r="CB60" s="99">
        <v>10.4674634146341</v>
      </c>
      <c r="CC60" s="99">
        <v>10.521783302063801</v>
      </c>
      <c r="CD60" s="99">
        <v>10.5761031894934</v>
      </c>
      <c r="CE60" s="99">
        <v>10.630423076923099</v>
      </c>
      <c r="CF60" s="99">
        <v>10.684742964352701</v>
      </c>
      <c r="CG60" s="99">
        <v>10.7390628517824</v>
      </c>
      <c r="CH60" s="99">
        <v>10.793382739211999</v>
      </c>
      <c r="CI60" s="99">
        <v>10.8477026266417</v>
      </c>
      <c r="CJ60" s="99">
        <v>10.9020225140713</v>
      </c>
      <c r="CK60" s="99">
        <v>10.956342401500899</v>
      </c>
      <c r="CL60" s="99">
        <v>11.0106622889306</v>
      </c>
      <c r="CM60" s="99">
        <v>11.0649821763602</v>
      </c>
      <c r="CN60" s="99">
        <v>11.119302063789901</v>
      </c>
      <c r="CO60" s="99">
        <v>11.1736219512195</v>
      </c>
      <c r="CP60" s="99">
        <v>11.227941838649199</v>
      </c>
      <c r="CQ60" s="99">
        <v>11.282261726078801</v>
      </c>
      <c r="CR60" s="99">
        <v>11.3365816135084</v>
      </c>
      <c r="CS60" s="99">
        <v>11.390901500938099</v>
      </c>
      <c r="CT60" s="99">
        <v>11.445221388367701</v>
      </c>
      <c r="CU60" s="99">
        <v>11.4995412757974</v>
      </c>
      <c r="CV60" s="99">
        <v>11.553861163226999</v>
      </c>
      <c r="CW60" s="99">
        <v>11.6081810506567</v>
      </c>
      <c r="CX60" s="99">
        <v>11.6625009380863</v>
      </c>
      <c r="CY60" s="99">
        <v>11.716820825516001</v>
      </c>
      <c r="CZ60" s="99">
        <v>11.7711407129456</v>
      </c>
      <c r="DA60" s="99">
        <v>11.8254606003752</v>
      </c>
      <c r="DB60" s="99">
        <v>11.879780487804901</v>
      </c>
      <c r="DC60" s="99">
        <v>11.9341003752345</v>
      </c>
      <c r="DD60" s="99">
        <v>11.988420262664199</v>
      </c>
      <c r="DE60" s="99">
        <v>12.042740150093801</v>
      </c>
      <c r="DF60" s="99">
        <v>12.0970600375235</v>
      </c>
      <c r="DG60" s="99">
        <v>12.151379924953099</v>
      </c>
      <c r="DH60" s="99">
        <v>12.205699812382701</v>
      </c>
      <c r="DI60" s="99">
        <v>12.2600196998124</v>
      </c>
      <c r="DJ60" s="99">
        <v>12.314339587241999</v>
      </c>
      <c r="DK60" s="99">
        <v>12.3686594746717</v>
      </c>
      <c r="DL60" s="99">
        <v>12.4229793621013</v>
      </c>
      <c r="DM60" s="99">
        <v>12.477299249531001</v>
      </c>
      <c r="DN60" s="99">
        <v>12.5316191369606</v>
      </c>
      <c r="DO60" s="99">
        <v>12.5859390243902</v>
      </c>
      <c r="DP60" s="99">
        <v>12.640258911819901</v>
      </c>
      <c r="DQ60" s="99">
        <v>12.6945787992495</v>
      </c>
      <c r="DR60" s="99">
        <v>12.748898686679199</v>
      </c>
      <c r="DS60" s="99">
        <v>12.803218574108801</v>
      </c>
      <c r="DT60" s="99">
        <v>12.8575384615385</v>
      </c>
      <c r="DU60" s="99">
        <v>12.911858348968099</v>
      </c>
      <c r="DV60" s="99">
        <v>12.9661782363978</v>
      </c>
      <c r="DW60" s="99">
        <v>13.0204981238274</v>
      </c>
      <c r="DX60" s="99">
        <v>13.074818011256999</v>
      </c>
      <c r="DY60" s="99">
        <v>13.1291378986867</v>
      </c>
      <c r="DZ60" s="99">
        <v>13.1834577861163</v>
      </c>
      <c r="EA60" s="99">
        <v>13.237777673546001</v>
      </c>
      <c r="EB60" s="99">
        <v>13.2920975609756</v>
      </c>
      <c r="EC60" s="99">
        <v>13.346417448405299</v>
      </c>
      <c r="ED60" s="99">
        <v>13.400737335834901</v>
      </c>
      <c r="EE60" s="99">
        <v>13.4550572232645</v>
      </c>
      <c r="EF60" s="99">
        <v>13.509377110694199</v>
      </c>
      <c r="EG60" s="99">
        <v>13.563696998123801</v>
      </c>
      <c r="EH60" s="99">
        <v>13.6180168855535</v>
      </c>
      <c r="EI60" s="99">
        <v>13.672336772983099</v>
      </c>
      <c r="EJ60" s="99">
        <v>13.7266566604128</v>
      </c>
      <c r="EK60" s="99">
        <v>13.7809765478424</v>
      </c>
      <c r="EL60" s="99">
        <v>13.835296435272101</v>
      </c>
      <c r="EM60" s="99">
        <v>13.8896163227017</v>
      </c>
      <c r="EN60" s="99">
        <v>13.9439362101313</v>
      </c>
      <c r="EO60" s="99">
        <v>13.998256097561001</v>
      </c>
      <c r="EP60" s="99">
        <v>14.0525759849906</v>
      </c>
      <c r="EQ60" s="99">
        <v>14.106895872420299</v>
      </c>
      <c r="ER60" s="99">
        <v>14.161215759849901</v>
      </c>
      <c r="ES60" s="99">
        <v>14.2155356472796</v>
      </c>
      <c r="ET60" s="99">
        <v>14.269855534709199</v>
      </c>
      <c r="EU60" s="99">
        <v>14.324175422138801</v>
      </c>
      <c r="EV60" s="99">
        <v>14.3784953095685</v>
      </c>
      <c r="EW60" s="99">
        <v>14.432815196998099</v>
      </c>
      <c r="EX60" s="99">
        <v>14.4871350844278</v>
      </c>
      <c r="EY60" s="99">
        <v>14.5414549718574</v>
      </c>
      <c r="EZ60" s="99">
        <v>14.595774859287101</v>
      </c>
      <c r="FA60" s="99">
        <v>14.6500947467167</v>
      </c>
      <c r="FB60" s="99">
        <v>14.7044146341463</v>
      </c>
      <c r="FC60" s="99">
        <v>14.758734521576001</v>
      </c>
      <c r="FD60" s="99">
        <v>14.8130544090056</v>
      </c>
      <c r="FE60" s="99">
        <v>14.867374296435299</v>
      </c>
      <c r="FF60" s="99">
        <v>14.921694183864901</v>
      </c>
      <c r="FG60" s="99">
        <v>14.9760140712946</v>
      </c>
      <c r="FH60" s="99">
        <v>15.030333958724199</v>
      </c>
      <c r="FI60" s="99">
        <v>15.0846538461539</v>
      </c>
      <c r="FJ60" s="99">
        <v>15.1389737335835</v>
      </c>
      <c r="FK60" s="99">
        <v>15.193293621013099</v>
      </c>
      <c r="FL60" s="99">
        <v>15.2476135084428</v>
      </c>
      <c r="FM60" s="99">
        <v>15.3019333958724</v>
      </c>
      <c r="FN60" s="99">
        <v>15.356253283302101</v>
      </c>
      <c r="FO60" s="99">
        <v>15.4105731707317</v>
      </c>
      <c r="FP60" s="99">
        <v>15.464893058161399</v>
      </c>
      <c r="FQ60" s="99">
        <v>15.519212945591001</v>
      </c>
      <c r="FR60" s="99">
        <v>15.5735328330206</v>
      </c>
      <c r="FS60" s="99">
        <v>15.627852720450299</v>
      </c>
      <c r="FT60" s="99">
        <v>15.682172607879901</v>
      </c>
      <c r="FU60" s="99">
        <v>15.7364924953096</v>
      </c>
      <c r="FV60" s="99">
        <v>15.790812382739199</v>
      </c>
      <c r="FW60" s="99">
        <v>15.8451322701689</v>
      </c>
      <c r="FX60" s="99">
        <v>15.8994521575985</v>
      </c>
      <c r="FY60" s="99">
        <v>15.953772045028099</v>
      </c>
      <c r="FZ60" s="99">
        <v>16.008091932457798</v>
      </c>
      <c r="GA60" s="99">
        <v>16.062411819887402</v>
      </c>
      <c r="GB60" s="99">
        <v>16.116731707317101</v>
      </c>
      <c r="GC60" s="99">
        <v>16.1710515947467</v>
      </c>
      <c r="GD60" s="99">
        <v>16.225371482176399</v>
      </c>
      <c r="GE60" s="99">
        <v>16.279691369606098</v>
      </c>
      <c r="GF60" s="99">
        <v>16.334011257035701</v>
      </c>
      <c r="GG60" s="99">
        <v>16.388331144465301</v>
      </c>
      <c r="GH60" s="99">
        <v>16.442651031895</v>
      </c>
      <c r="GI60" s="99">
        <v>16.4969709193245</v>
      </c>
      <c r="GJ60" s="99">
        <v>16.551290806754199</v>
      </c>
      <c r="GK60" s="99">
        <v>16.605610694183898</v>
      </c>
      <c r="GL60" s="99">
        <v>16.659930581613601</v>
      </c>
      <c r="GM60" s="99">
        <v>16.714250469043201</v>
      </c>
      <c r="GN60" s="99">
        <v>16.7685703564728</v>
      </c>
      <c r="GO60" s="99">
        <v>16.8228902439024</v>
      </c>
      <c r="GP60" s="99">
        <v>16.877210131331999</v>
      </c>
      <c r="GQ60" s="99">
        <v>16.931530018761801</v>
      </c>
      <c r="GR60" s="99">
        <v>16.985849906191401</v>
      </c>
      <c r="GS60" s="99">
        <v>17.0401697936211</v>
      </c>
      <c r="GT60" s="99">
        <v>17.0944896810506</v>
      </c>
      <c r="GU60" s="99">
        <v>17.148809568480299</v>
      </c>
      <c r="GV60" s="99">
        <v>17.203129455909998</v>
      </c>
      <c r="GW60" s="99">
        <v>17.257449343339601</v>
      </c>
      <c r="GX60" s="99">
        <v>17.311769230769301</v>
      </c>
      <c r="GY60" s="99">
        <v>17.3660891181989</v>
      </c>
      <c r="GZ60" s="99">
        <v>17.4204090056285</v>
      </c>
      <c r="HA60" s="99">
        <v>17.474728893058099</v>
      </c>
      <c r="HB60" s="99">
        <v>17.529048780487901</v>
      </c>
      <c r="HC60" s="99">
        <v>17.583368667917501</v>
      </c>
      <c r="HD60" s="99">
        <v>17.637688555347101</v>
      </c>
      <c r="HE60" s="99">
        <v>17.6920084427767</v>
      </c>
      <c r="HF60" s="99">
        <v>17.7463283302063</v>
      </c>
      <c r="HG60" s="99">
        <v>17.800648217636098</v>
      </c>
      <c r="HH60" s="99">
        <v>17.854968105065701</v>
      </c>
      <c r="HI60" s="99">
        <v>17.9092879924954</v>
      </c>
      <c r="HJ60" s="99">
        <v>17.963607879925</v>
      </c>
      <c r="HK60" s="99">
        <v>18.0179277673545</v>
      </c>
      <c r="HL60" s="99">
        <v>18.072247654784199</v>
      </c>
      <c r="HM60" s="99">
        <v>18.126567542213898</v>
      </c>
      <c r="HN60" s="99">
        <v>18.180887429643601</v>
      </c>
      <c r="HO60" s="99">
        <v>18.235207317073201</v>
      </c>
      <c r="HP60" s="99">
        <v>18.2895272045028</v>
      </c>
      <c r="HQ60" s="99">
        <v>18.3438470919324</v>
      </c>
      <c r="HR60" s="99">
        <v>18.398166979362198</v>
      </c>
      <c r="HS60" s="99">
        <v>18.452486866791801</v>
      </c>
      <c r="HT60" s="99">
        <v>18.506806754221401</v>
      </c>
      <c r="HU60" s="99">
        <v>18.5611266416511</v>
      </c>
      <c r="HV60" s="99">
        <v>18.6154465290806</v>
      </c>
      <c r="HW60" s="99">
        <v>18.669766416510299</v>
      </c>
      <c r="HX60" s="99">
        <v>18.724086303939998</v>
      </c>
      <c r="HY60" s="99">
        <v>18.778406191369701</v>
      </c>
      <c r="HZ60" s="99">
        <v>18.8327260787993</v>
      </c>
      <c r="IA60" s="99">
        <v>18.8870459662289</v>
      </c>
      <c r="IB60" s="99">
        <v>18.9413658536585</v>
      </c>
      <c r="IC60" s="99">
        <v>18.995685741088099</v>
      </c>
      <c r="ID60" s="99">
        <v>19.050005628517901</v>
      </c>
      <c r="IE60" s="99">
        <v>19.104325515947501</v>
      </c>
      <c r="IF60" s="99">
        <v>19.1586454033772</v>
      </c>
      <c r="IG60" s="99">
        <v>19.2129652908067</v>
      </c>
      <c r="IH60" s="99">
        <v>19.2672851782363</v>
      </c>
      <c r="II60" s="99">
        <v>19.321605065666098</v>
      </c>
      <c r="IJ60" s="99">
        <v>19.375924953095701</v>
      </c>
      <c r="IK60" s="99">
        <v>19.4302448405254</v>
      </c>
      <c r="IL60" s="99">
        <v>19.484564727955</v>
      </c>
      <c r="IM60" s="99">
        <v>19.5388846153846</v>
      </c>
      <c r="IN60" s="99">
        <v>19.593204502814199</v>
      </c>
      <c r="IO60" s="99">
        <v>19.647524390244001</v>
      </c>
      <c r="IP60" s="99">
        <v>19.701844277673601</v>
      </c>
      <c r="IQ60" s="99">
        <v>19.756164165103201</v>
      </c>
      <c r="IR60" s="99">
        <v>19.8104840525328</v>
      </c>
      <c r="IS60" s="99">
        <v>19.8648039399624</v>
      </c>
      <c r="IT60" s="99">
        <v>19.919123827392198</v>
      </c>
      <c r="IU60" s="99">
        <v>19.973443714821801</v>
      </c>
      <c r="IV60" s="99">
        <v>20.0277636022515</v>
      </c>
      <c r="IW60" s="99">
        <v>20.0820834896811</v>
      </c>
      <c r="IX60" s="99">
        <v>20.1364033771106</v>
      </c>
      <c r="IY60" s="99">
        <v>20.190723264540299</v>
      </c>
      <c r="IZ60" s="99">
        <v>20.245043151969998</v>
      </c>
      <c r="JA60" s="99">
        <v>20.299363039399701</v>
      </c>
      <c r="JB60" s="99">
        <v>20.3536829268293</v>
      </c>
      <c r="JC60" s="99">
        <v>20.4080028142589</v>
      </c>
      <c r="JD60" s="99">
        <v>20.4623227016885</v>
      </c>
      <c r="JE60" s="99">
        <v>20.516642589118302</v>
      </c>
      <c r="JF60" s="99">
        <v>20.570962476547901</v>
      </c>
      <c r="JG60" s="99">
        <v>20.625282363977501</v>
      </c>
      <c r="JH60" s="99">
        <v>20.6796022514072</v>
      </c>
      <c r="JI60" s="99">
        <v>20.7339221388367</v>
      </c>
      <c r="JJ60" s="99">
        <v>20.788242026266399</v>
      </c>
      <c r="JK60" s="99">
        <v>20.842561913696098</v>
      </c>
      <c r="JL60" s="99">
        <v>20.896881801125801</v>
      </c>
      <c r="JM60" s="99">
        <v>20.9512016885554</v>
      </c>
      <c r="JN60" s="99">
        <v>21.005521575985</v>
      </c>
      <c r="JO60" s="99">
        <v>21.0598414634146</v>
      </c>
      <c r="JP60" s="99">
        <v>21.114161350844199</v>
      </c>
      <c r="JQ60" s="99">
        <v>21.168481238274001</v>
      </c>
      <c r="JR60" s="99">
        <v>21.222801125703601</v>
      </c>
      <c r="JS60" s="99">
        <v>21.2771210131333</v>
      </c>
      <c r="JT60" s="99">
        <v>21.3314409005628</v>
      </c>
      <c r="JU60" s="99">
        <v>21.3857607879924</v>
      </c>
      <c r="JV60" s="99">
        <v>21.440080675422202</v>
      </c>
      <c r="JW60" s="99">
        <v>21.494400562851801</v>
      </c>
      <c r="JX60" s="99">
        <v>21.5487204502815</v>
      </c>
      <c r="JY60" s="99">
        <v>21.6030403377111</v>
      </c>
      <c r="JZ60" s="99">
        <v>21.6573602251407</v>
      </c>
      <c r="KA60" s="99">
        <v>21.711680112570299</v>
      </c>
      <c r="KB60" s="99">
        <v>21.766000000000101</v>
      </c>
      <c r="KC60" s="99">
        <v>21.820319887429701</v>
      </c>
      <c r="KD60" s="99">
        <v>21.8746397748593</v>
      </c>
      <c r="KE60" s="99">
        <v>21.9289596622889</v>
      </c>
      <c r="KF60" s="99">
        <v>21.9832795497185</v>
      </c>
      <c r="KG60" s="99">
        <v>22.037599437148302</v>
      </c>
      <c r="KH60" s="99">
        <v>22.091919324577901</v>
      </c>
      <c r="KI60" s="99">
        <v>22.1462392120076</v>
      </c>
      <c r="KJ60" s="99">
        <v>22.2005590994372</v>
      </c>
      <c r="KK60" s="99">
        <v>22.2548789868667</v>
      </c>
      <c r="KL60" s="99">
        <v>22.309198874296399</v>
      </c>
      <c r="KM60" s="99">
        <v>22.363518761725999</v>
      </c>
      <c r="KN60" s="99">
        <v>22.417838649155801</v>
      </c>
      <c r="KO60" s="99">
        <v>22.4721585365854</v>
      </c>
      <c r="KP60" s="99">
        <v>22.526478424015</v>
      </c>
      <c r="KQ60" s="99">
        <v>22.5807983114446</v>
      </c>
      <c r="KR60" s="99">
        <v>22.635118198874199</v>
      </c>
      <c r="KS60" s="99">
        <v>22.689438086303898</v>
      </c>
      <c r="KT60" s="99">
        <v>22.743757973733601</v>
      </c>
      <c r="KU60" s="99">
        <v>22.7980778611633</v>
      </c>
      <c r="KV60" s="99">
        <v>22.8523977485928</v>
      </c>
      <c r="KW60" s="99">
        <v>22.906717636022499</v>
      </c>
      <c r="KX60" s="99">
        <v>22.961037523452099</v>
      </c>
      <c r="KY60" s="99">
        <v>23.015357410881901</v>
      </c>
      <c r="KZ60" s="99">
        <v>23.0696772983115</v>
      </c>
      <c r="LA60" s="99">
        <v>23.1239971857411</v>
      </c>
      <c r="LB60" s="99">
        <v>23.1783170731707</v>
      </c>
      <c r="LC60" s="99">
        <v>23.232636960600299</v>
      </c>
      <c r="LD60" s="99">
        <v>23.286956848030101</v>
      </c>
      <c r="LE60" s="99">
        <v>23.341276735459701</v>
      </c>
      <c r="LF60" s="99">
        <v>23.3955966228894</v>
      </c>
      <c r="LG60" s="99">
        <v>23.4499165103189</v>
      </c>
      <c r="LH60" s="99">
        <v>23.5042363977485</v>
      </c>
      <c r="LI60" s="99">
        <v>23.558556285178199</v>
      </c>
      <c r="LJ60" s="99">
        <v>23.612876172607798</v>
      </c>
      <c r="LK60" s="99">
        <v>23.6671960600376</v>
      </c>
      <c r="LL60" s="99">
        <v>23.7215159474672</v>
      </c>
      <c r="LM60" s="99">
        <v>23.7758358348968</v>
      </c>
      <c r="LN60" s="99">
        <v>23.830155722326399</v>
      </c>
      <c r="LO60" s="99">
        <v>23.884475609756201</v>
      </c>
      <c r="LP60" s="99">
        <v>23.938795497185801</v>
      </c>
      <c r="LQ60" s="99">
        <v>23.9931153846154</v>
      </c>
      <c r="LR60" s="99">
        <v>24.047435272045</v>
      </c>
      <c r="LS60" s="99">
        <v>24.1017551594746</v>
      </c>
      <c r="LT60" s="99">
        <v>24.156075046904299</v>
      </c>
      <c r="LU60" s="99">
        <v>24.210394934334001</v>
      </c>
      <c r="LV60" s="99">
        <v>24.2647148217637</v>
      </c>
      <c r="LW60" s="99">
        <v>24.3190347091933</v>
      </c>
      <c r="LX60" s="99">
        <v>24.3733545966228</v>
      </c>
      <c r="LY60" s="99">
        <v>24.427674484052499</v>
      </c>
      <c r="LZ60" s="99">
        <v>24.481994371482099</v>
      </c>
      <c r="MA60" s="99">
        <v>24.536314258911901</v>
      </c>
      <c r="MB60" s="99">
        <v>24.5906341463415</v>
      </c>
      <c r="MC60" s="99">
        <v>24.6449540337711</v>
      </c>
      <c r="MD60" s="99">
        <v>24.6992739212007</v>
      </c>
      <c r="ME60" s="99">
        <v>24.753593808630299</v>
      </c>
      <c r="MF60" s="99">
        <v>24.807913696060101</v>
      </c>
      <c r="MG60" s="99">
        <v>24.862233583489701</v>
      </c>
      <c r="MH60" s="99">
        <v>24.9165534709194</v>
      </c>
      <c r="MI60" s="99">
        <v>24.9708733583489</v>
      </c>
      <c r="MJ60" s="99">
        <v>25.025193245778599</v>
      </c>
      <c r="MK60" s="99">
        <v>25.079513133208199</v>
      </c>
      <c r="ML60" s="99">
        <v>25.133833020638001</v>
      </c>
      <c r="MM60" s="99">
        <v>25.1881529080676</v>
      </c>
      <c r="MN60" s="99">
        <v>25.2424727954972</v>
      </c>
      <c r="MO60" s="99">
        <v>25.2967926829268</v>
      </c>
      <c r="MP60" s="99">
        <v>25.351112570356399</v>
      </c>
      <c r="MQ60" s="99">
        <v>25.405432457786201</v>
      </c>
      <c r="MR60" s="99">
        <v>25.459752345215801</v>
      </c>
      <c r="MS60" s="99">
        <v>25.5140722326455</v>
      </c>
      <c r="MT60" s="99">
        <v>25.568392120075</v>
      </c>
      <c r="MU60" s="99">
        <v>25.6227120075046</v>
      </c>
      <c r="MV60" s="99">
        <v>25.677031894934299</v>
      </c>
      <c r="MW60" s="99">
        <v>25.731351782364001</v>
      </c>
      <c r="MX60" s="99">
        <v>25.7856716697937</v>
      </c>
      <c r="MY60" s="99">
        <v>25.8399915572233</v>
      </c>
      <c r="MZ60" s="99">
        <v>25.894311444652899</v>
      </c>
      <c r="NA60" s="99">
        <v>25.948631332082499</v>
      </c>
      <c r="NB60" s="99">
        <v>26.002951219512099</v>
      </c>
      <c r="NC60" s="99">
        <v>26.057271106941901</v>
      </c>
      <c r="ND60" s="99">
        <v>26.1115909943715</v>
      </c>
      <c r="NE60" s="99">
        <v>26.1659108818011</v>
      </c>
      <c r="NF60" s="99">
        <v>26.2202307692307</v>
      </c>
      <c r="NG60" s="99">
        <v>26.274550656660399</v>
      </c>
      <c r="NH60" s="99">
        <v>26.328870544090101</v>
      </c>
      <c r="NI60" s="99">
        <v>26.3831904315198</v>
      </c>
      <c r="NJ60" s="99">
        <v>26.4375103189494</v>
      </c>
      <c r="NK60" s="99">
        <v>26.4918302063789</v>
      </c>
      <c r="NL60" s="99">
        <v>26.546150093808599</v>
      </c>
      <c r="NM60" s="99">
        <v>26.600469981238199</v>
      </c>
      <c r="NN60" s="99">
        <v>26.654789868668001</v>
      </c>
      <c r="NO60" s="99">
        <v>26.7091097560976</v>
      </c>
      <c r="NP60" s="99">
        <v>26.7634296435272</v>
      </c>
      <c r="NQ60" s="99">
        <v>26.817749530956799</v>
      </c>
      <c r="NR60" s="99">
        <v>26.872069418386399</v>
      </c>
      <c r="NS60" s="99">
        <v>26.926389305816201</v>
      </c>
      <c r="NT60" s="99">
        <v>26.980709193245801</v>
      </c>
      <c r="NU60" s="99">
        <v>27.0350290806755</v>
      </c>
      <c r="NV60" s="99">
        <v>27.089348968105</v>
      </c>
      <c r="NW60" s="99">
        <v>27.143668855534699</v>
      </c>
      <c r="NX60" s="99">
        <v>27.197988742964299</v>
      </c>
      <c r="NY60" s="99">
        <v>27.252308630394101</v>
      </c>
      <c r="NZ60" s="99">
        <v>27.3066285178237</v>
      </c>
      <c r="OA60" s="99">
        <v>27.3609484052533</v>
      </c>
      <c r="OB60" s="99">
        <v>27.415268292682899</v>
      </c>
      <c r="OC60" s="99">
        <v>27.469588180112499</v>
      </c>
      <c r="OD60" s="99">
        <v>27.523908067542301</v>
      </c>
      <c r="OE60" s="99">
        <v>27.578227954971901</v>
      </c>
      <c r="OF60" s="99">
        <v>27.6325478424016</v>
      </c>
      <c r="OG60" s="99">
        <v>27.6868677298311</v>
      </c>
      <c r="OH60" s="99">
        <v>27.741187617260699</v>
      </c>
      <c r="OI60" s="99">
        <v>27.795507504690399</v>
      </c>
      <c r="OJ60" s="99">
        <v>27.849827392120101</v>
      </c>
      <c r="OK60" s="99">
        <v>27.9041472795498</v>
      </c>
      <c r="OL60" s="99">
        <v>27.9584671669794</v>
      </c>
      <c r="OM60" s="99">
        <v>28.012787054408999</v>
      </c>
      <c r="ON60" s="99">
        <v>28.067106941838599</v>
      </c>
      <c r="OO60" s="99">
        <v>28.121426829268199</v>
      </c>
      <c r="OP60" s="99">
        <v>28.175746716698001</v>
      </c>
      <c r="OQ60" s="99">
        <v>28.2300666041276</v>
      </c>
      <c r="OR60" s="99">
        <v>28.2843864915572</v>
      </c>
      <c r="OS60" s="99">
        <v>28.338706378986799</v>
      </c>
      <c r="OT60" s="99">
        <v>28.393026266416499</v>
      </c>
      <c r="OU60" s="99">
        <v>28.447346153846201</v>
      </c>
      <c r="OV60" s="99">
        <v>28.5016660412759</v>
      </c>
      <c r="OW60" s="99">
        <v>28.5559859287055</v>
      </c>
      <c r="OX60" s="99">
        <v>28.610305816135</v>
      </c>
      <c r="OY60" s="99">
        <v>28.664625703564699</v>
      </c>
      <c r="OZ60" s="99">
        <v>28.718945590994299</v>
      </c>
      <c r="PA60" s="99">
        <v>28.773265478424101</v>
      </c>
      <c r="PB60" s="99">
        <v>28.8275853658537</v>
      </c>
      <c r="PC60" s="99">
        <v>28.8819052532833</v>
      </c>
      <c r="PD60" s="99">
        <v>28.936225140712899</v>
      </c>
      <c r="PE60" s="99">
        <v>28.990545028142499</v>
      </c>
      <c r="PF60" s="99">
        <v>29.044864915572301</v>
      </c>
      <c r="PG60" s="99">
        <v>29.099184803001901</v>
      </c>
      <c r="PH60" s="99">
        <v>29.1535046904316</v>
      </c>
      <c r="PI60" s="99">
        <v>29.2078245778611</v>
      </c>
      <c r="PJ60" s="99">
        <v>29.262144465290799</v>
      </c>
      <c r="PK60" s="99">
        <v>29.316464352720399</v>
      </c>
      <c r="PL60" s="99">
        <v>29.370784240150101</v>
      </c>
      <c r="PM60" s="99">
        <v>29.4251041275798</v>
      </c>
      <c r="PN60" s="99">
        <v>29.4794240150094</v>
      </c>
      <c r="PO60" s="99">
        <v>29.533743902438999</v>
      </c>
      <c r="PP60" s="99">
        <v>29.588063789868599</v>
      </c>
      <c r="PQ60" s="99">
        <v>29.642383677298401</v>
      </c>
      <c r="PR60" s="99">
        <v>29.696703564728001</v>
      </c>
      <c r="PS60" s="99">
        <v>29.7510234521576</v>
      </c>
      <c r="PT60" s="99">
        <v>29.8053433395872</v>
      </c>
      <c r="PU60" s="99">
        <v>29.859663227016799</v>
      </c>
      <c r="PV60" s="99">
        <v>29.913983114446498</v>
      </c>
      <c r="PW60" s="99">
        <v>29.968303001876201</v>
      </c>
      <c r="PX60" s="99">
        <v>30.0226228893059</v>
      </c>
      <c r="PY60" s="99">
        <v>30.0769427767355</v>
      </c>
      <c r="PZ60" s="99">
        <v>30.131262664165099</v>
      </c>
      <c r="QA60" s="99">
        <v>30.185582551594699</v>
      </c>
      <c r="QB60" s="99">
        <v>30.239902439024299</v>
      </c>
      <c r="QC60" s="99">
        <v>30.294222326454101</v>
      </c>
      <c r="QD60" s="99">
        <v>30.3485422138837</v>
      </c>
      <c r="QE60" s="99">
        <v>30.4028621013133</v>
      </c>
      <c r="QF60" s="99">
        <v>30.457181988742899</v>
      </c>
      <c r="QG60" s="99">
        <v>30.511501876172598</v>
      </c>
      <c r="QH60" s="99">
        <v>30.565821763602301</v>
      </c>
      <c r="QI60" s="99">
        <v>30.620141651032</v>
      </c>
      <c r="QJ60" s="99">
        <v>30.6744615384615</v>
      </c>
      <c r="QK60" s="99">
        <v>30.7287814258911</v>
      </c>
      <c r="QL60" s="99">
        <v>30.783101313320799</v>
      </c>
      <c r="QM60" s="99">
        <v>30.837421200750398</v>
      </c>
      <c r="QN60" s="99">
        <v>30.891741088180201</v>
      </c>
      <c r="QO60" s="99">
        <v>30.9460609756098</v>
      </c>
      <c r="QP60" s="99">
        <v>31.0003808630394</v>
      </c>
      <c r="QQ60" s="99">
        <v>31.054700750468999</v>
      </c>
      <c r="QR60" s="99">
        <v>31.109020637898599</v>
      </c>
      <c r="QS60" s="99">
        <v>31.163340525328401</v>
      </c>
      <c r="QT60" s="99">
        <v>31.217660412758001</v>
      </c>
      <c r="QU60" s="99">
        <v>31.2719803001876</v>
      </c>
      <c r="QV60" s="99">
        <v>31.3263001876172</v>
      </c>
      <c r="QW60" s="99">
        <v>31.380620075046899</v>
      </c>
      <c r="QX60" s="99">
        <v>31.434939962476498</v>
      </c>
      <c r="QY60" s="99">
        <v>31.489259849906201</v>
      </c>
      <c r="QZ60" s="99">
        <v>31.5435797373359</v>
      </c>
      <c r="RA60" s="99">
        <v>31.5978996247655</v>
      </c>
      <c r="RB60" s="99">
        <v>31.652219512195099</v>
      </c>
      <c r="RC60" s="99">
        <v>31.706539399624699</v>
      </c>
      <c r="RD60" s="99">
        <v>31.760859287054501</v>
      </c>
      <c r="RE60" s="99">
        <v>31.815179174484101</v>
      </c>
      <c r="RF60" s="99">
        <v>31.8694990619137</v>
      </c>
      <c r="RG60" s="99">
        <v>31.9238189493433</v>
      </c>
      <c r="RH60" s="99">
        <v>31.978138836772899</v>
      </c>
      <c r="RI60" s="99">
        <v>32.032458724202598</v>
      </c>
      <c r="RJ60" s="99">
        <v>32.086778611632297</v>
      </c>
      <c r="RK60" s="99">
        <v>32.141098499061997</v>
      </c>
      <c r="RL60" s="99">
        <v>32.195418386491603</v>
      </c>
      <c r="RM60" s="99">
        <v>32.249738273921302</v>
      </c>
      <c r="RN60" s="99">
        <v>32.304058161350902</v>
      </c>
      <c r="RO60" s="99">
        <v>32.358378048780502</v>
      </c>
      <c r="RP60" s="99">
        <v>32.412697936210201</v>
      </c>
      <c r="RQ60" s="99">
        <v>32.4670178236398</v>
      </c>
      <c r="RR60" s="99">
        <v>32.5213377110694</v>
      </c>
      <c r="RS60" s="99">
        <v>32.575657598498999</v>
      </c>
      <c r="RT60" s="99">
        <v>32.629977485928698</v>
      </c>
      <c r="RU60" s="99">
        <v>32.684297373358397</v>
      </c>
      <c r="RV60" s="99">
        <v>32.738617260787997</v>
      </c>
      <c r="RW60" s="99">
        <v>32.792937148217703</v>
      </c>
      <c r="RX60" s="99">
        <v>32.847257035647303</v>
      </c>
      <c r="RY60" s="99">
        <v>32.901576923077002</v>
      </c>
      <c r="RZ60" s="99">
        <v>32.955896810506601</v>
      </c>
      <c r="SA60" s="99">
        <v>33.010216697936301</v>
      </c>
      <c r="SB60" s="99">
        <v>33.0645365853659</v>
      </c>
      <c r="SC60" s="99">
        <v>33.1188564727955</v>
      </c>
      <c r="SD60" s="99">
        <v>33.173176360225099</v>
      </c>
      <c r="SE60" s="99">
        <v>33.227496247654699</v>
      </c>
      <c r="SF60" s="99">
        <v>33.281816135084497</v>
      </c>
      <c r="SG60" s="99">
        <v>33.336136022514097</v>
      </c>
      <c r="SH60" s="99">
        <v>33.390455909943803</v>
      </c>
      <c r="SI60" s="99">
        <v>33.444775797373403</v>
      </c>
      <c r="SJ60" s="99">
        <v>33.499095684803102</v>
      </c>
      <c r="SK60" s="99">
        <v>33.553415572232701</v>
      </c>
      <c r="SL60" s="99">
        <v>33.607735459662301</v>
      </c>
      <c r="SM60" s="99">
        <v>33.662055347092</v>
      </c>
      <c r="SN60" s="99">
        <v>33.7163752345215</v>
      </c>
      <c r="SO60" s="99">
        <v>33.770695121951199</v>
      </c>
      <c r="SP60" s="99">
        <v>33.825015009380799</v>
      </c>
      <c r="SQ60" s="99">
        <v>33.879334896810597</v>
      </c>
      <c r="SR60" s="99">
        <v>33.933654784240197</v>
      </c>
      <c r="SS60" s="99">
        <v>33.987974671669903</v>
      </c>
      <c r="ST60" s="99">
        <v>34.042294559099503</v>
      </c>
      <c r="SU60" s="99">
        <v>34.096614446529102</v>
      </c>
      <c r="SV60" s="99">
        <v>34.150934333958801</v>
      </c>
      <c r="SW60" s="99">
        <v>34.205254221388401</v>
      </c>
      <c r="SX60" s="99">
        <v>34.2595741088181</v>
      </c>
      <c r="SY60" s="99">
        <v>34.3138939962476</v>
      </c>
      <c r="SZ60" s="99">
        <v>34.368213883677299</v>
      </c>
      <c r="TA60" s="99">
        <v>34.422533771106899</v>
      </c>
      <c r="TB60" s="99">
        <v>34.476853658536498</v>
      </c>
      <c r="TC60" s="99">
        <v>34.531173545966297</v>
      </c>
      <c r="TD60" s="99">
        <v>34.585493433395897</v>
      </c>
      <c r="TE60" s="99">
        <v>34.639813320825603</v>
      </c>
      <c r="TF60" s="99">
        <v>34.694133208255202</v>
      </c>
      <c r="TG60" s="99">
        <v>34.748453095684901</v>
      </c>
      <c r="TH60" s="99">
        <v>34.802772983114501</v>
      </c>
      <c r="TI60" s="99">
        <v>34.857092870544101</v>
      </c>
      <c r="TJ60" s="99">
        <v>34.9114127579737</v>
      </c>
      <c r="TK60" s="99">
        <v>34.9657326454033</v>
      </c>
      <c r="TL60" s="99">
        <v>35.020052532832999</v>
      </c>
      <c r="TM60" s="99">
        <v>35.074372420262598</v>
      </c>
      <c r="TN60" s="99">
        <v>35.128692307692397</v>
      </c>
      <c r="TO60" s="99">
        <v>35.183012195121997</v>
      </c>
      <c r="TP60" s="99">
        <v>35.237332082551603</v>
      </c>
      <c r="TQ60" s="99">
        <v>35.291651969981302</v>
      </c>
      <c r="TR60" s="99">
        <v>35.345971857410902</v>
      </c>
      <c r="TS60" s="99">
        <v>35.400291744840601</v>
      </c>
      <c r="TT60" s="99">
        <v>35.454611632270201</v>
      </c>
      <c r="TU60" s="99">
        <v>35.5089315196998</v>
      </c>
      <c r="TV60" s="99">
        <v>35.5632514071294</v>
      </c>
      <c r="TW60" s="99">
        <v>35.617571294559099</v>
      </c>
      <c r="TX60" s="99">
        <v>35.671891181988698</v>
      </c>
      <c r="TY60" s="99">
        <v>35.726211069418397</v>
      </c>
      <c r="TZ60" s="99">
        <v>35.780530956848096</v>
      </c>
      <c r="UA60" s="99">
        <v>35.834850844277703</v>
      </c>
      <c r="UB60" s="99">
        <v>35.889170731707402</v>
      </c>
      <c r="UC60" s="99">
        <v>35.943490619137002</v>
      </c>
      <c r="UD60" s="99">
        <v>35.997810506566701</v>
      </c>
      <c r="UE60" s="99">
        <v>36.0521303939963</v>
      </c>
      <c r="UF60" s="99">
        <v>36.1064502814259</v>
      </c>
      <c r="UG60" s="99">
        <v>36.1607701688555</v>
      </c>
      <c r="UH60" s="99">
        <v>36.215090056285099</v>
      </c>
      <c r="UI60" s="99">
        <v>36.269409943714798</v>
      </c>
      <c r="UJ60" s="99">
        <v>36.323729831144497</v>
      </c>
      <c r="UK60" s="99">
        <v>36.378049718574204</v>
      </c>
      <c r="UL60" s="99">
        <v>36.432369606003803</v>
      </c>
      <c r="UM60" s="99">
        <v>36.486689493433502</v>
      </c>
      <c r="UN60" s="99">
        <v>36.541009380863102</v>
      </c>
      <c r="UO60" s="99">
        <v>36.595329268292701</v>
      </c>
      <c r="UP60" s="99">
        <v>36.6496491557224</v>
      </c>
      <c r="UQ60" s="99">
        <v>36.703969043152</v>
      </c>
      <c r="UR60" s="99">
        <v>36.7582889305816</v>
      </c>
      <c r="US60" s="99">
        <v>36.812608818011299</v>
      </c>
      <c r="UT60" s="99">
        <v>36.866928705440998</v>
      </c>
    </row>
    <row r="61" spans="1:566" x14ac:dyDescent="0.2">
      <c r="A61" s="89">
        <v>27.5</v>
      </c>
      <c r="B61" s="90">
        <v>6.17</v>
      </c>
      <c r="C61" s="90">
        <v>6.23</v>
      </c>
      <c r="D61" s="90">
        <v>6.28</v>
      </c>
      <c r="E61" s="90">
        <v>6.33</v>
      </c>
      <c r="F61" s="90">
        <v>6.39</v>
      </c>
      <c r="G61" s="90">
        <v>6.44</v>
      </c>
      <c r="H61" s="90">
        <v>6.5</v>
      </c>
      <c r="I61" s="90">
        <v>6.55</v>
      </c>
      <c r="J61" s="90">
        <v>6.6</v>
      </c>
      <c r="K61" s="90">
        <v>6.66</v>
      </c>
      <c r="L61" s="90">
        <v>6.71</v>
      </c>
      <c r="M61" s="90">
        <v>6.77</v>
      </c>
      <c r="N61" s="90">
        <v>6.82</v>
      </c>
      <c r="O61" s="90">
        <v>6.87</v>
      </c>
      <c r="P61" s="90">
        <v>6.93</v>
      </c>
      <c r="Q61" s="90">
        <v>6.98</v>
      </c>
      <c r="R61" s="90">
        <v>7.04</v>
      </c>
      <c r="S61" s="90">
        <v>7.09</v>
      </c>
      <c r="T61" s="90">
        <v>7.14</v>
      </c>
      <c r="U61" s="91">
        <v>7.2</v>
      </c>
      <c r="V61" s="90">
        <v>7.25</v>
      </c>
      <c r="W61" s="90">
        <v>7.3</v>
      </c>
      <c r="X61" s="90">
        <v>7.36</v>
      </c>
      <c r="Y61" s="90">
        <v>7.41</v>
      </c>
      <c r="Z61" s="90">
        <v>7.47</v>
      </c>
      <c r="AA61" s="90">
        <v>7.52</v>
      </c>
      <c r="AB61" s="90">
        <v>7.57</v>
      </c>
      <c r="AC61" s="90">
        <v>7.63</v>
      </c>
      <c r="AD61" s="90">
        <v>7.68</v>
      </c>
      <c r="AE61" s="90">
        <v>7.74</v>
      </c>
      <c r="AF61" s="90">
        <v>7.79</v>
      </c>
      <c r="AG61" s="90">
        <v>7.84</v>
      </c>
      <c r="AH61" s="90">
        <v>7.9</v>
      </c>
      <c r="AI61" s="90">
        <v>7.95</v>
      </c>
      <c r="AJ61" s="90">
        <v>8.01</v>
      </c>
      <c r="AK61" s="90">
        <v>8.06</v>
      </c>
      <c r="AL61" s="90">
        <v>8.11</v>
      </c>
      <c r="AM61" s="90">
        <v>8.17</v>
      </c>
      <c r="AN61" s="90">
        <v>8.2200000000000006</v>
      </c>
      <c r="AO61" s="91">
        <v>8.27</v>
      </c>
      <c r="AP61" s="90">
        <v>8.3286153846153894</v>
      </c>
      <c r="AQ61" s="90">
        <v>8.3825112570356506</v>
      </c>
      <c r="AR61" s="90">
        <v>8.43640712945591</v>
      </c>
      <c r="AS61" s="90">
        <v>8.49030300187618</v>
      </c>
      <c r="AT61" s="90">
        <v>8.5441988742964394</v>
      </c>
      <c r="AU61" s="90">
        <v>8.5980947467167006</v>
      </c>
      <c r="AV61" s="90">
        <v>8.65199061913696</v>
      </c>
      <c r="AW61" s="90">
        <v>8.70588649155723</v>
      </c>
      <c r="AX61" s="90">
        <v>8.7597823639774894</v>
      </c>
      <c r="AY61" s="90">
        <v>8.8136782363977506</v>
      </c>
      <c r="AZ61" s="90">
        <v>8.86757410881801</v>
      </c>
      <c r="BA61" s="90">
        <v>8.9214699812382801</v>
      </c>
      <c r="BB61" s="90">
        <v>8.9753658536585395</v>
      </c>
      <c r="BC61" s="90">
        <v>9.0292617260788006</v>
      </c>
      <c r="BD61" s="90">
        <v>9.08315759849906</v>
      </c>
      <c r="BE61" s="90">
        <v>9.1370534709193301</v>
      </c>
      <c r="BF61" s="90">
        <v>9.1909493433395895</v>
      </c>
      <c r="BG61" s="90">
        <v>9.2448452157598506</v>
      </c>
      <c r="BH61" s="90">
        <v>9.2987410881801207</v>
      </c>
      <c r="BI61" s="91">
        <v>9.3526369606003801</v>
      </c>
      <c r="BJ61" s="90">
        <v>9.4065328330206395</v>
      </c>
      <c r="BK61" s="99">
        <v>9.4604287054409006</v>
      </c>
      <c r="BL61" s="99">
        <v>9.5143245778611707</v>
      </c>
      <c r="BM61" s="99">
        <v>9.5682204502814301</v>
      </c>
      <c r="BN61" s="99">
        <v>9.6221163227016895</v>
      </c>
      <c r="BO61" s="99">
        <v>9.6760121951219507</v>
      </c>
      <c r="BP61" s="99">
        <v>9.7299080675422207</v>
      </c>
      <c r="BQ61" s="99">
        <v>9.7838039399624801</v>
      </c>
      <c r="BR61" s="99">
        <v>9.8376998123827395</v>
      </c>
      <c r="BS61" s="99">
        <v>9.8915956848030007</v>
      </c>
      <c r="BT61" s="99">
        <v>9.9454915572232707</v>
      </c>
      <c r="BU61" s="99">
        <v>9.9993874296435301</v>
      </c>
      <c r="BV61" s="99">
        <v>10.0532833020638</v>
      </c>
      <c r="BW61" s="99">
        <v>10.1071791744841</v>
      </c>
      <c r="BX61" s="99">
        <v>10.161075046904299</v>
      </c>
      <c r="BY61" s="99">
        <v>10.2149709193246</v>
      </c>
      <c r="BZ61" s="99">
        <v>10.2688667917448</v>
      </c>
      <c r="CA61" s="99">
        <v>10.322762664165101</v>
      </c>
      <c r="CB61" s="99">
        <v>10.376658536585399</v>
      </c>
      <c r="CC61" s="99">
        <v>10.4305544090056</v>
      </c>
      <c r="CD61" s="99">
        <v>10.4844502814259</v>
      </c>
      <c r="CE61" s="99">
        <v>10.5383461538462</v>
      </c>
      <c r="CF61" s="99">
        <v>10.592242026266399</v>
      </c>
      <c r="CG61" s="99">
        <v>10.6461378986867</v>
      </c>
      <c r="CH61" s="99">
        <v>10.7000337711069</v>
      </c>
      <c r="CI61" s="99">
        <v>10.753929643527201</v>
      </c>
      <c r="CJ61" s="99">
        <v>10.807825515947499</v>
      </c>
      <c r="CK61" s="99">
        <v>10.8617213883677</v>
      </c>
      <c r="CL61" s="99">
        <v>10.915617260788</v>
      </c>
      <c r="CM61" s="99">
        <v>10.9695131332083</v>
      </c>
      <c r="CN61" s="99">
        <v>11.023409005628499</v>
      </c>
      <c r="CO61" s="99">
        <v>11.0773048780488</v>
      </c>
      <c r="CP61" s="99">
        <v>11.131200750469</v>
      </c>
      <c r="CQ61" s="99">
        <v>11.185096622889301</v>
      </c>
      <c r="CR61" s="99">
        <v>11.238992495309599</v>
      </c>
      <c r="CS61" s="99">
        <v>11.2928883677298</v>
      </c>
      <c r="CT61" s="99">
        <v>11.3467842401501</v>
      </c>
      <c r="CU61" s="99">
        <v>11.4006801125704</v>
      </c>
      <c r="CV61" s="99">
        <v>11.454575984990599</v>
      </c>
      <c r="CW61" s="99">
        <v>11.5084718574109</v>
      </c>
      <c r="CX61" s="99">
        <v>11.562367729831101</v>
      </c>
      <c r="CY61" s="99">
        <v>11.616263602251401</v>
      </c>
      <c r="CZ61" s="99">
        <v>11.670159474671699</v>
      </c>
      <c r="DA61" s="99">
        <v>11.7240553470919</v>
      </c>
      <c r="DB61" s="99">
        <v>11.7779512195122</v>
      </c>
      <c r="DC61" s="99">
        <v>11.831847091932501</v>
      </c>
      <c r="DD61" s="99">
        <v>11.8857429643527</v>
      </c>
      <c r="DE61" s="99">
        <v>11.939638836773</v>
      </c>
      <c r="DF61" s="99">
        <v>11.993534709193201</v>
      </c>
      <c r="DG61" s="99">
        <v>12.047430581613501</v>
      </c>
      <c r="DH61" s="99">
        <v>12.101326454033799</v>
      </c>
      <c r="DI61" s="99">
        <v>12.155222326454</v>
      </c>
      <c r="DJ61" s="99">
        <v>12.2091181988743</v>
      </c>
      <c r="DK61" s="99">
        <v>12.263014071294601</v>
      </c>
      <c r="DL61" s="99">
        <v>12.3169099437148</v>
      </c>
      <c r="DM61" s="99">
        <v>12.3708058161351</v>
      </c>
      <c r="DN61" s="99">
        <v>12.424701688555301</v>
      </c>
      <c r="DO61" s="99">
        <v>12.478597560975601</v>
      </c>
      <c r="DP61" s="99">
        <v>12.532493433395899</v>
      </c>
      <c r="DQ61" s="99">
        <v>12.5863893058161</v>
      </c>
      <c r="DR61" s="99">
        <v>12.6402851782364</v>
      </c>
      <c r="DS61" s="99">
        <v>12.694181050656701</v>
      </c>
      <c r="DT61" s="99">
        <v>12.7480769230769</v>
      </c>
      <c r="DU61" s="99">
        <v>12.8019727954972</v>
      </c>
      <c r="DV61" s="99">
        <v>12.855868667917401</v>
      </c>
      <c r="DW61" s="99">
        <v>12.909764540337701</v>
      </c>
      <c r="DX61" s="99">
        <v>12.963660412757999</v>
      </c>
      <c r="DY61" s="99">
        <v>13.0175562851782</v>
      </c>
      <c r="DZ61" s="99">
        <v>13.0714521575985</v>
      </c>
      <c r="EA61" s="99">
        <v>13.125348030018801</v>
      </c>
      <c r="EB61" s="99">
        <v>13.179243902439</v>
      </c>
      <c r="EC61" s="99">
        <v>13.2331397748593</v>
      </c>
      <c r="ED61" s="99">
        <v>13.287035647279501</v>
      </c>
      <c r="EE61" s="99">
        <v>13.340931519699801</v>
      </c>
      <c r="EF61" s="99">
        <v>13.394827392120099</v>
      </c>
      <c r="EG61" s="99">
        <v>13.4487232645403</v>
      </c>
      <c r="EH61" s="99">
        <v>13.5026191369606</v>
      </c>
      <c r="EI61" s="99">
        <v>13.556515009380901</v>
      </c>
      <c r="EJ61" s="99">
        <v>13.6104108818011</v>
      </c>
      <c r="EK61" s="99">
        <v>13.6643067542214</v>
      </c>
      <c r="EL61" s="99">
        <v>13.718202626641601</v>
      </c>
      <c r="EM61" s="99">
        <v>13.772098499061901</v>
      </c>
      <c r="EN61" s="99">
        <v>13.825994371482199</v>
      </c>
      <c r="EO61" s="99">
        <v>13.8798902439024</v>
      </c>
      <c r="EP61" s="99">
        <v>13.9337861163227</v>
      </c>
      <c r="EQ61" s="99">
        <v>13.987681988743001</v>
      </c>
      <c r="ER61" s="99">
        <v>14.0415778611632</v>
      </c>
      <c r="ES61" s="99">
        <v>14.0954737335835</v>
      </c>
      <c r="ET61" s="99">
        <v>14.1493696060038</v>
      </c>
      <c r="EU61" s="99">
        <v>14.203265478423999</v>
      </c>
      <c r="EV61" s="99">
        <v>14.257161350844299</v>
      </c>
      <c r="EW61" s="99">
        <v>14.3110572232645</v>
      </c>
      <c r="EX61" s="99">
        <v>14.3649530956848</v>
      </c>
      <c r="EY61" s="99">
        <v>14.418848968105101</v>
      </c>
      <c r="EZ61" s="99">
        <v>14.4727448405253</v>
      </c>
      <c r="FA61" s="99">
        <v>14.5266407129456</v>
      </c>
      <c r="FB61" s="99">
        <v>14.5805365853659</v>
      </c>
      <c r="FC61" s="99">
        <v>14.634432457786099</v>
      </c>
      <c r="FD61" s="99">
        <v>14.688328330206399</v>
      </c>
      <c r="FE61" s="99">
        <v>14.7422242026266</v>
      </c>
      <c r="FF61" s="99">
        <v>14.7961200750469</v>
      </c>
      <c r="FG61" s="99">
        <v>14.850015947467201</v>
      </c>
      <c r="FH61" s="99">
        <v>14.9039118198874</v>
      </c>
      <c r="FI61" s="99">
        <v>14.9578076923077</v>
      </c>
      <c r="FJ61" s="99">
        <v>15.011703564728</v>
      </c>
      <c r="FK61" s="99">
        <v>15.065599437148199</v>
      </c>
      <c r="FL61" s="99">
        <v>15.119495309568499</v>
      </c>
      <c r="FM61" s="99">
        <v>15.1733911819887</v>
      </c>
      <c r="FN61" s="99">
        <v>15.227287054409</v>
      </c>
      <c r="FO61" s="99">
        <v>15.281182926829301</v>
      </c>
      <c r="FP61" s="99">
        <v>15.3350787992495</v>
      </c>
      <c r="FQ61" s="99">
        <v>15.3889746716698</v>
      </c>
      <c r="FR61" s="99">
        <v>15.4428705440901</v>
      </c>
      <c r="FS61" s="99">
        <v>15.496766416510299</v>
      </c>
      <c r="FT61" s="99">
        <v>15.550662288930599</v>
      </c>
      <c r="FU61" s="99">
        <v>15.6045581613508</v>
      </c>
      <c r="FV61" s="99">
        <v>15.6584540337711</v>
      </c>
      <c r="FW61" s="99">
        <v>15.712349906191401</v>
      </c>
      <c r="FX61" s="99">
        <v>15.7662457786116</v>
      </c>
      <c r="FY61" s="99">
        <v>15.8201416510319</v>
      </c>
      <c r="FZ61" s="99">
        <v>15.8740375234522</v>
      </c>
      <c r="GA61" s="99">
        <v>15.927933395872399</v>
      </c>
      <c r="GB61" s="99">
        <v>15.981829268292699</v>
      </c>
      <c r="GC61" s="99">
        <v>16.035725140712898</v>
      </c>
      <c r="GD61" s="99">
        <v>16.0896210131332</v>
      </c>
      <c r="GE61" s="99">
        <v>16.143516885553499</v>
      </c>
      <c r="GF61" s="99">
        <v>16.197412757973801</v>
      </c>
      <c r="GG61" s="99">
        <v>16.251308630394</v>
      </c>
      <c r="GH61" s="99">
        <v>16.305204502814298</v>
      </c>
      <c r="GI61" s="99">
        <v>16.359100375234501</v>
      </c>
      <c r="GJ61" s="99">
        <v>16.412996247654799</v>
      </c>
      <c r="GK61" s="99">
        <v>16.466892120075102</v>
      </c>
      <c r="GL61" s="99">
        <v>16.520787992495301</v>
      </c>
      <c r="GM61" s="99">
        <v>16.574683864915599</v>
      </c>
      <c r="GN61" s="99">
        <v>16.628579737335901</v>
      </c>
      <c r="GO61" s="99">
        <v>16.6824756097561</v>
      </c>
      <c r="GP61" s="99">
        <v>16.736371482176398</v>
      </c>
      <c r="GQ61" s="99">
        <v>16.790267354596601</v>
      </c>
      <c r="GR61" s="99">
        <v>16.844163227016899</v>
      </c>
      <c r="GS61" s="99">
        <v>16.898059099437202</v>
      </c>
      <c r="GT61" s="99">
        <v>16.951954971857401</v>
      </c>
      <c r="GU61" s="99">
        <v>17.005850844277699</v>
      </c>
      <c r="GV61" s="99">
        <v>17.059746716698001</v>
      </c>
      <c r="GW61" s="99">
        <v>17.1136425891182</v>
      </c>
      <c r="GX61" s="99">
        <v>17.167538461538498</v>
      </c>
      <c r="GY61" s="99">
        <v>17.221434333958701</v>
      </c>
      <c r="GZ61" s="99">
        <v>17.275330206379</v>
      </c>
      <c r="HA61" s="99">
        <v>17.329226078799302</v>
      </c>
      <c r="HB61" s="99">
        <v>17.383121951219501</v>
      </c>
      <c r="HC61" s="99">
        <v>17.437017823639799</v>
      </c>
      <c r="HD61" s="99">
        <v>17.490913696060101</v>
      </c>
      <c r="HE61" s="99">
        <v>17.5448095684803</v>
      </c>
      <c r="HF61" s="99">
        <v>17.598705440900599</v>
      </c>
      <c r="HG61" s="99">
        <v>17.652601313320901</v>
      </c>
      <c r="HH61" s="99">
        <v>17.7064971857411</v>
      </c>
      <c r="HI61" s="99">
        <v>17.760393058161402</v>
      </c>
      <c r="HJ61" s="99">
        <v>17.814288930581601</v>
      </c>
      <c r="HK61" s="99">
        <v>17.868184803001899</v>
      </c>
      <c r="HL61" s="99">
        <v>17.922080675422201</v>
      </c>
      <c r="HM61" s="99">
        <v>17.9759765478424</v>
      </c>
      <c r="HN61" s="99">
        <v>18.029872420262699</v>
      </c>
      <c r="HO61" s="99">
        <v>18.083768292683001</v>
      </c>
      <c r="HP61" s="99">
        <v>18.1376641651032</v>
      </c>
      <c r="HQ61" s="99">
        <v>18.191560037523502</v>
      </c>
      <c r="HR61" s="99">
        <v>18.245455909943701</v>
      </c>
      <c r="HS61" s="99">
        <v>18.299351782363999</v>
      </c>
      <c r="HT61" s="99">
        <v>18.353247654784301</v>
      </c>
      <c r="HU61" s="99">
        <v>18.4071435272045</v>
      </c>
      <c r="HV61" s="99">
        <v>18.461039399624799</v>
      </c>
      <c r="HW61" s="99">
        <v>18.514935272045101</v>
      </c>
      <c r="HX61" s="99">
        <v>18.5688311444653</v>
      </c>
      <c r="HY61" s="99">
        <v>18.622727016885602</v>
      </c>
      <c r="HZ61" s="99">
        <v>18.676622889305801</v>
      </c>
      <c r="IA61" s="99">
        <v>18.730518761726099</v>
      </c>
      <c r="IB61" s="99">
        <v>18.784414634146401</v>
      </c>
      <c r="IC61" s="99">
        <v>18.8383105065666</v>
      </c>
      <c r="ID61" s="99">
        <v>18.892206378986899</v>
      </c>
      <c r="IE61" s="99">
        <v>18.946102251407201</v>
      </c>
      <c r="IF61" s="99">
        <v>18.9999981238274</v>
      </c>
      <c r="IG61" s="99">
        <v>19.053893996247702</v>
      </c>
      <c r="IH61" s="99">
        <v>19.107789868667901</v>
      </c>
      <c r="II61" s="99">
        <v>19.161685741088199</v>
      </c>
      <c r="IJ61" s="99">
        <v>19.215581613508501</v>
      </c>
      <c r="IK61" s="99">
        <v>19.2694774859287</v>
      </c>
      <c r="IL61" s="99">
        <v>19.323373358348999</v>
      </c>
      <c r="IM61" s="99">
        <v>19.377269230769301</v>
      </c>
      <c r="IN61" s="99">
        <v>19.4311651031895</v>
      </c>
      <c r="IO61" s="99">
        <v>19.485060975609802</v>
      </c>
      <c r="IP61" s="99">
        <v>19.538956848030001</v>
      </c>
      <c r="IQ61" s="99">
        <v>19.592852720450299</v>
      </c>
      <c r="IR61" s="99">
        <v>19.646748592870601</v>
      </c>
      <c r="IS61" s="99">
        <v>19.7006444652908</v>
      </c>
      <c r="IT61" s="99">
        <v>19.754540337711099</v>
      </c>
      <c r="IU61" s="99">
        <v>19.808436210131401</v>
      </c>
      <c r="IV61" s="99">
        <v>19.8623320825516</v>
      </c>
      <c r="IW61" s="99">
        <v>19.916227954971902</v>
      </c>
      <c r="IX61" s="99">
        <v>19.970123827392101</v>
      </c>
      <c r="IY61" s="99">
        <v>20.024019699812399</v>
      </c>
      <c r="IZ61" s="99">
        <v>20.077915572232701</v>
      </c>
      <c r="JA61" s="99">
        <v>20.1318114446529</v>
      </c>
      <c r="JB61" s="99">
        <v>20.185707317073199</v>
      </c>
      <c r="JC61" s="99">
        <v>20.239603189493501</v>
      </c>
      <c r="JD61" s="99">
        <v>20.2934990619137</v>
      </c>
      <c r="JE61" s="99">
        <v>20.347394934334002</v>
      </c>
      <c r="JF61" s="99">
        <v>20.401290806754201</v>
      </c>
      <c r="JG61" s="99">
        <v>20.455186679174499</v>
      </c>
      <c r="JH61" s="99">
        <v>20.509082551594801</v>
      </c>
      <c r="JI61" s="99">
        <v>20.562978424015</v>
      </c>
      <c r="JJ61" s="99">
        <v>20.616874296435299</v>
      </c>
      <c r="JK61" s="99">
        <v>20.670770168855601</v>
      </c>
      <c r="JL61" s="99">
        <v>20.7246660412758</v>
      </c>
      <c r="JM61" s="99">
        <v>20.778561913696102</v>
      </c>
      <c r="JN61" s="99">
        <v>20.832457786116301</v>
      </c>
      <c r="JO61" s="99">
        <v>20.886353658536599</v>
      </c>
      <c r="JP61" s="99">
        <v>20.940249530956901</v>
      </c>
      <c r="JQ61" s="99">
        <v>20.9941454033771</v>
      </c>
      <c r="JR61" s="99">
        <v>21.048041275797399</v>
      </c>
      <c r="JS61" s="99">
        <v>21.101937148217701</v>
      </c>
      <c r="JT61" s="99">
        <v>21.1558330206379</v>
      </c>
      <c r="JU61" s="99">
        <v>21.209728893058202</v>
      </c>
      <c r="JV61" s="99">
        <v>21.263624765478401</v>
      </c>
      <c r="JW61" s="99">
        <v>21.317520637898699</v>
      </c>
      <c r="JX61" s="99">
        <v>21.371416510319001</v>
      </c>
      <c r="JY61" s="99">
        <v>21.4253123827392</v>
      </c>
      <c r="JZ61" s="99">
        <v>21.479208255159499</v>
      </c>
      <c r="KA61" s="99">
        <v>21.533104127579801</v>
      </c>
      <c r="KB61" s="99">
        <v>21.587</v>
      </c>
      <c r="KC61" s="99">
        <v>21.640895872420302</v>
      </c>
      <c r="KD61" s="99">
        <v>21.6947917448406</v>
      </c>
      <c r="KE61" s="99">
        <v>21.748687617260799</v>
      </c>
      <c r="KF61" s="99">
        <v>21.802583489681101</v>
      </c>
      <c r="KG61" s="99">
        <v>21.8564793621013</v>
      </c>
      <c r="KH61" s="99">
        <v>21.910375234521599</v>
      </c>
      <c r="KI61" s="99">
        <v>21.964271106941901</v>
      </c>
      <c r="KJ61" s="99">
        <v>22.0181669793621</v>
      </c>
      <c r="KK61" s="99">
        <v>22.072062851782398</v>
      </c>
      <c r="KL61" s="99">
        <v>22.1259587242027</v>
      </c>
      <c r="KM61" s="99">
        <v>22.179854596622899</v>
      </c>
      <c r="KN61" s="99">
        <v>22.233750469043201</v>
      </c>
      <c r="KO61" s="99">
        <v>22.2876463414634</v>
      </c>
      <c r="KP61" s="99">
        <v>22.341542213883699</v>
      </c>
      <c r="KQ61" s="99">
        <v>22.395438086304001</v>
      </c>
      <c r="KR61" s="99">
        <v>22.4493339587242</v>
      </c>
      <c r="KS61" s="99">
        <v>22.503229831144498</v>
      </c>
      <c r="KT61" s="99">
        <v>22.5571257035648</v>
      </c>
      <c r="KU61" s="99">
        <v>22.611021575984999</v>
      </c>
      <c r="KV61" s="99">
        <v>22.664917448405301</v>
      </c>
      <c r="KW61" s="99">
        <v>22.7188133208255</v>
      </c>
      <c r="KX61" s="99">
        <v>22.772709193245799</v>
      </c>
      <c r="KY61" s="99">
        <v>22.826605065666101</v>
      </c>
      <c r="KZ61" s="99">
        <v>22.8805009380863</v>
      </c>
      <c r="LA61" s="99">
        <v>22.934396810506598</v>
      </c>
      <c r="LB61" s="99">
        <v>22.9882926829269</v>
      </c>
      <c r="LC61" s="99">
        <v>23.042188555347099</v>
      </c>
      <c r="LD61" s="99">
        <v>23.096084427767401</v>
      </c>
      <c r="LE61" s="99">
        <v>23.1499803001876</v>
      </c>
      <c r="LF61" s="99">
        <v>23.203876172607899</v>
      </c>
      <c r="LG61" s="99">
        <v>23.257772045028201</v>
      </c>
      <c r="LH61" s="99">
        <v>23.3116679174484</v>
      </c>
      <c r="LI61" s="99">
        <v>23.365563789868698</v>
      </c>
      <c r="LJ61" s="99">
        <v>23.419459662289</v>
      </c>
      <c r="LK61" s="99">
        <v>23.473355534709199</v>
      </c>
      <c r="LL61" s="99">
        <v>23.527251407129501</v>
      </c>
      <c r="LM61" s="99">
        <v>23.5811472795497</v>
      </c>
      <c r="LN61" s="99">
        <v>23.635043151969999</v>
      </c>
      <c r="LO61" s="99">
        <v>23.688939024390301</v>
      </c>
      <c r="LP61" s="99">
        <v>23.7428348968105</v>
      </c>
      <c r="LQ61" s="99">
        <v>23.796730769230798</v>
      </c>
      <c r="LR61" s="99">
        <v>23.8506266416511</v>
      </c>
      <c r="LS61" s="99">
        <v>23.904522514071299</v>
      </c>
      <c r="LT61" s="99">
        <v>23.958418386491601</v>
      </c>
      <c r="LU61" s="99">
        <v>24.0123142589118</v>
      </c>
      <c r="LV61" s="99">
        <v>24.066210131332099</v>
      </c>
      <c r="LW61" s="99">
        <v>24.120106003752401</v>
      </c>
      <c r="LX61" s="99">
        <v>24.1740018761726</v>
      </c>
      <c r="LY61" s="99">
        <v>24.227897748592898</v>
      </c>
      <c r="LZ61" s="99">
        <v>24.2817936210132</v>
      </c>
      <c r="MA61" s="99">
        <v>24.335689493433399</v>
      </c>
      <c r="MB61" s="99">
        <v>24.389585365853701</v>
      </c>
      <c r="MC61" s="99">
        <v>24.4434812382739</v>
      </c>
      <c r="MD61" s="99">
        <v>24.497377110694199</v>
      </c>
      <c r="ME61" s="99">
        <v>24.551272983114501</v>
      </c>
      <c r="MF61" s="99">
        <v>24.6051688555347</v>
      </c>
      <c r="MG61" s="99">
        <v>24.659064727954998</v>
      </c>
      <c r="MH61" s="99">
        <v>24.7129606003753</v>
      </c>
      <c r="MI61" s="99">
        <v>24.766856472795499</v>
      </c>
      <c r="MJ61" s="99">
        <v>24.820752345215801</v>
      </c>
      <c r="MK61" s="99">
        <v>24.8746482176361</v>
      </c>
      <c r="ML61" s="99">
        <v>24.928544090056299</v>
      </c>
      <c r="MM61" s="99">
        <v>24.982439962476601</v>
      </c>
      <c r="MN61" s="99">
        <v>25.0363358348968</v>
      </c>
      <c r="MO61" s="99">
        <v>25.090231707317098</v>
      </c>
      <c r="MP61" s="99">
        <v>25.1441275797374</v>
      </c>
      <c r="MQ61" s="99">
        <v>25.198023452157599</v>
      </c>
      <c r="MR61" s="99">
        <v>25.251919324577901</v>
      </c>
      <c r="MS61" s="99">
        <v>25.3058151969982</v>
      </c>
      <c r="MT61" s="99">
        <v>25.359711069418399</v>
      </c>
      <c r="MU61" s="99">
        <v>25.413606941838701</v>
      </c>
      <c r="MV61" s="99">
        <v>25.4675028142589</v>
      </c>
      <c r="MW61" s="99">
        <v>25.521398686679198</v>
      </c>
      <c r="MX61" s="99">
        <v>25.5752945590995</v>
      </c>
      <c r="MY61" s="99">
        <v>25.629190431519699</v>
      </c>
      <c r="MZ61" s="99">
        <v>25.683086303940001</v>
      </c>
      <c r="NA61" s="99">
        <v>25.7369821763603</v>
      </c>
      <c r="NB61" s="99">
        <v>25.790878048780499</v>
      </c>
      <c r="NC61" s="99">
        <v>25.844773921200801</v>
      </c>
      <c r="ND61" s="99">
        <v>25.898669793621</v>
      </c>
      <c r="NE61" s="99">
        <v>25.952565666041298</v>
      </c>
      <c r="NF61" s="99">
        <v>26.0064615384616</v>
      </c>
      <c r="NG61" s="99">
        <v>26.060357410881799</v>
      </c>
      <c r="NH61" s="99">
        <v>26.114253283302101</v>
      </c>
      <c r="NI61" s="99">
        <v>26.1681491557224</v>
      </c>
      <c r="NJ61" s="99">
        <v>26.222045028142599</v>
      </c>
      <c r="NK61" s="99">
        <v>26.275940900562901</v>
      </c>
      <c r="NL61" s="99">
        <v>26.3298367729831</v>
      </c>
      <c r="NM61" s="99">
        <v>26.383732645403398</v>
      </c>
      <c r="NN61" s="99">
        <v>26.4376285178237</v>
      </c>
      <c r="NO61" s="99">
        <v>26.491524390243899</v>
      </c>
      <c r="NP61" s="99">
        <v>26.545420262664202</v>
      </c>
      <c r="NQ61" s="99">
        <v>26.5993161350845</v>
      </c>
      <c r="NR61" s="99">
        <v>26.653212007504699</v>
      </c>
      <c r="NS61" s="99">
        <v>26.707107879925001</v>
      </c>
      <c r="NT61" s="99">
        <v>26.7610037523452</v>
      </c>
      <c r="NU61" s="99">
        <v>26.814899624765498</v>
      </c>
      <c r="NV61" s="99">
        <v>26.868795497185801</v>
      </c>
      <c r="NW61" s="99">
        <v>26.922691369606</v>
      </c>
      <c r="NX61" s="99">
        <v>26.976587242026302</v>
      </c>
      <c r="NY61" s="99">
        <v>27.0304831144466</v>
      </c>
      <c r="NZ61" s="99">
        <v>27.084378986866799</v>
      </c>
      <c r="OA61" s="99">
        <v>27.138274859287101</v>
      </c>
      <c r="OB61" s="99">
        <v>27.1921707317073</v>
      </c>
      <c r="OC61" s="99">
        <v>27.246066604127599</v>
      </c>
      <c r="OD61" s="99">
        <v>27.299962476547901</v>
      </c>
      <c r="OE61" s="99">
        <v>27.3538583489681</v>
      </c>
      <c r="OF61" s="99">
        <v>27.407754221388402</v>
      </c>
      <c r="OG61" s="99">
        <v>27.4616500938087</v>
      </c>
      <c r="OH61" s="99">
        <v>27.515545966228899</v>
      </c>
      <c r="OI61" s="99">
        <v>27.569441838649201</v>
      </c>
      <c r="OJ61" s="99">
        <v>27.6233377110694</v>
      </c>
      <c r="OK61" s="99">
        <v>27.677233583489699</v>
      </c>
      <c r="OL61" s="99">
        <v>27.731129455910001</v>
      </c>
      <c r="OM61" s="99">
        <v>27.7850253283302</v>
      </c>
      <c r="ON61" s="99">
        <v>27.838921200750502</v>
      </c>
      <c r="OO61" s="99">
        <v>27.8928170731708</v>
      </c>
      <c r="OP61" s="99">
        <v>27.946712945590999</v>
      </c>
      <c r="OQ61" s="99">
        <v>28.000608818011301</v>
      </c>
      <c r="OR61" s="99">
        <v>28.0545046904315</v>
      </c>
      <c r="OS61" s="99">
        <v>28.108400562851799</v>
      </c>
      <c r="OT61" s="99">
        <v>28.162296435272101</v>
      </c>
      <c r="OU61" s="99">
        <v>28.2161923076923</v>
      </c>
      <c r="OV61" s="99">
        <v>28.270088180112602</v>
      </c>
      <c r="OW61" s="99">
        <v>28.3239840525329</v>
      </c>
      <c r="OX61" s="99">
        <v>28.377879924953099</v>
      </c>
      <c r="OY61" s="99">
        <v>28.431775797373401</v>
      </c>
      <c r="OZ61" s="99">
        <v>28.4856716697936</v>
      </c>
      <c r="PA61" s="99">
        <v>28.539567542213899</v>
      </c>
      <c r="PB61" s="99">
        <v>28.593463414634201</v>
      </c>
      <c r="PC61" s="99">
        <v>28.6473592870544</v>
      </c>
      <c r="PD61" s="99">
        <v>28.701255159474702</v>
      </c>
      <c r="PE61" s="99">
        <v>28.755151031895</v>
      </c>
      <c r="PF61" s="99">
        <v>28.809046904315199</v>
      </c>
      <c r="PG61" s="99">
        <v>28.862942776735501</v>
      </c>
      <c r="PH61" s="99">
        <v>28.9168386491557</v>
      </c>
      <c r="PI61" s="99">
        <v>28.970734521575999</v>
      </c>
      <c r="PJ61" s="99">
        <v>29.024630393996301</v>
      </c>
      <c r="PK61" s="99">
        <v>29.0785262664165</v>
      </c>
      <c r="PL61" s="99">
        <v>29.132422138836802</v>
      </c>
      <c r="PM61" s="99">
        <v>29.1863180112571</v>
      </c>
      <c r="PN61" s="99">
        <v>29.240213883677299</v>
      </c>
      <c r="PO61" s="99">
        <v>29.294109756097601</v>
      </c>
      <c r="PP61" s="99">
        <v>29.3480056285178</v>
      </c>
      <c r="PQ61" s="99">
        <v>29.401901500938099</v>
      </c>
      <c r="PR61" s="99">
        <v>29.455797373358401</v>
      </c>
      <c r="PS61" s="99">
        <v>29.5096932457786</v>
      </c>
      <c r="PT61" s="99">
        <v>29.563589118198902</v>
      </c>
      <c r="PU61" s="99">
        <v>29.6174849906192</v>
      </c>
      <c r="PV61" s="99">
        <v>29.671380863039399</v>
      </c>
      <c r="PW61" s="99">
        <v>29.725276735459701</v>
      </c>
      <c r="PX61" s="99">
        <v>29.77917260788</v>
      </c>
      <c r="PY61" s="99">
        <v>29.833068480300199</v>
      </c>
      <c r="PZ61" s="99">
        <v>29.886964352720501</v>
      </c>
      <c r="QA61" s="99">
        <v>29.9408602251407</v>
      </c>
      <c r="QB61" s="99">
        <v>29.994756097561002</v>
      </c>
      <c r="QC61" s="99">
        <v>30.0486519699813</v>
      </c>
      <c r="QD61" s="99">
        <v>30.102547842401499</v>
      </c>
      <c r="QE61" s="99">
        <v>30.156443714821801</v>
      </c>
      <c r="QF61" s="99">
        <v>30.2103395872421</v>
      </c>
      <c r="QG61" s="99">
        <v>30.264235459662299</v>
      </c>
      <c r="QH61" s="99">
        <v>30.318131332082601</v>
      </c>
      <c r="QI61" s="99">
        <v>30.3720272045028</v>
      </c>
      <c r="QJ61" s="99">
        <v>30.425923076923102</v>
      </c>
      <c r="QK61" s="99">
        <v>30.4798189493434</v>
      </c>
      <c r="QL61" s="99">
        <v>30.533714821763599</v>
      </c>
      <c r="QM61" s="99">
        <v>30.587610694183901</v>
      </c>
      <c r="QN61" s="99">
        <v>30.6415065666042</v>
      </c>
      <c r="QO61" s="99">
        <v>30.695402439024399</v>
      </c>
      <c r="QP61" s="99">
        <v>30.749298311444701</v>
      </c>
      <c r="QQ61" s="99">
        <v>30.8031941838649</v>
      </c>
      <c r="QR61" s="99">
        <v>30.857090056285202</v>
      </c>
      <c r="QS61" s="99">
        <v>30.9109859287055</v>
      </c>
      <c r="QT61" s="99">
        <v>30.964881801125699</v>
      </c>
      <c r="QU61" s="99">
        <v>31.018777673546001</v>
      </c>
      <c r="QV61" s="99">
        <v>31.0726735459663</v>
      </c>
      <c r="QW61" s="99">
        <v>31.126569418386499</v>
      </c>
      <c r="QX61" s="99">
        <v>31.180465290806801</v>
      </c>
      <c r="QY61" s="99">
        <v>31.234361163227</v>
      </c>
      <c r="QZ61" s="99">
        <v>31.288257035647302</v>
      </c>
      <c r="RA61" s="99">
        <v>31.3421529080676</v>
      </c>
      <c r="RB61" s="99">
        <v>31.396048780487799</v>
      </c>
      <c r="RC61" s="99">
        <v>31.449944652908101</v>
      </c>
      <c r="RD61" s="99">
        <v>31.5038405253284</v>
      </c>
      <c r="RE61" s="99">
        <v>31.557736397748599</v>
      </c>
      <c r="RF61" s="99">
        <v>31.611632270168901</v>
      </c>
      <c r="RG61" s="99">
        <v>31.6655281425891</v>
      </c>
      <c r="RH61" s="99">
        <v>31.719424015009398</v>
      </c>
      <c r="RI61" s="99">
        <v>31.7733198874297</v>
      </c>
      <c r="RJ61" s="99">
        <v>31.827215759849899</v>
      </c>
      <c r="RK61" s="99">
        <v>31.881111632270201</v>
      </c>
      <c r="RL61" s="99">
        <v>31.9350075046905</v>
      </c>
      <c r="RM61" s="99">
        <v>31.988903377110699</v>
      </c>
      <c r="RN61" s="99">
        <v>32.042799249531001</v>
      </c>
      <c r="RO61" s="99">
        <v>32.0966951219512</v>
      </c>
      <c r="RP61" s="99">
        <v>32.150590994371498</v>
      </c>
      <c r="RQ61" s="99">
        <v>32.204486866791797</v>
      </c>
      <c r="RR61" s="99">
        <v>32.258382739212003</v>
      </c>
      <c r="RS61" s="99">
        <v>32.312278611632301</v>
      </c>
      <c r="RT61" s="99">
        <v>32.3661744840526</v>
      </c>
      <c r="RU61" s="99">
        <v>32.420070356472799</v>
      </c>
      <c r="RV61" s="99">
        <v>32.473966228893097</v>
      </c>
      <c r="RW61" s="99">
        <v>32.527862101313303</v>
      </c>
      <c r="RX61" s="99">
        <v>32.581757973733602</v>
      </c>
      <c r="RY61" s="99">
        <v>32.6356538461539</v>
      </c>
      <c r="RZ61" s="99">
        <v>32.689549718574099</v>
      </c>
      <c r="SA61" s="99">
        <v>32.743445590994398</v>
      </c>
      <c r="SB61" s="99">
        <v>32.797341463414703</v>
      </c>
      <c r="SC61" s="99">
        <v>32.851237335834902</v>
      </c>
      <c r="SD61" s="99">
        <v>32.905133208255201</v>
      </c>
      <c r="SE61" s="99">
        <v>32.9590290806754</v>
      </c>
      <c r="SF61" s="99">
        <v>33.012924953095698</v>
      </c>
      <c r="SG61" s="99">
        <v>33.066820825515997</v>
      </c>
      <c r="SH61" s="99">
        <v>33.120716697936203</v>
      </c>
      <c r="SI61" s="99">
        <v>33.174612570356501</v>
      </c>
      <c r="SJ61" s="99">
        <v>33.2285084427768</v>
      </c>
      <c r="SK61" s="99">
        <v>33.282404315196999</v>
      </c>
      <c r="SL61" s="99">
        <v>33.336300187617297</v>
      </c>
      <c r="SM61" s="99">
        <v>33.390196060037603</v>
      </c>
      <c r="SN61" s="99">
        <v>33.444091932457802</v>
      </c>
      <c r="SO61" s="99">
        <v>33.4979878048781</v>
      </c>
      <c r="SP61" s="99">
        <v>33.551883677298299</v>
      </c>
      <c r="SQ61" s="99">
        <v>33.605779549718598</v>
      </c>
      <c r="SR61" s="99">
        <v>33.659675422138903</v>
      </c>
      <c r="SS61" s="99">
        <v>33.713571294559102</v>
      </c>
      <c r="ST61" s="99">
        <v>33.767467166979401</v>
      </c>
      <c r="SU61" s="99">
        <v>33.821363039399699</v>
      </c>
      <c r="SV61" s="99">
        <v>33.875258911819898</v>
      </c>
      <c r="SW61" s="99">
        <v>33.929154784240197</v>
      </c>
      <c r="SX61" s="99">
        <v>33.983050656660403</v>
      </c>
      <c r="SY61" s="99">
        <v>34.036946529080701</v>
      </c>
      <c r="SZ61" s="99">
        <v>34.090842401501</v>
      </c>
      <c r="TA61" s="99">
        <v>34.144738273921199</v>
      </c>
      <c r="TB61" s="99">
        <v>34.198634146341497</v>
      </c>
      <c r="TC61" s="99">
        <v>34.252530018761803</v>
      </c>
      <c r="TD61" s="99">
        <v>34.306425891182002</v>
      </c>
      <c r="TE61" s="99">
        <v>34.3603217636023</v>
      </c>
      <c r="TF61" s="99">
        <v>34.414217636022499</v>
      </c>
      <c r="TG61" s="99">
        <v>34.468113508442798</v>
      </c>
      <c r="TH61" s="99">
        <v>34.522009380863103</v>
      </c>
      <c r="TI61" s="99">
        <v>34.575905253283302</v>
      </c>
      <c r="TJ61" s="99">
        <v>34.629801125703601</v>
      </c>
      <c r="TK61" s="99">
        <v>34.683696998123899</v>
      </c>
      <c r="TL61" s="99">
        <v>34.737592870544098</v>
      </c>
      <c r="TM61" s="99">
        <v>34.791488742964397</v>
      </c>
      <c r="TN61" s="99">
        <v>34.845384615384603</v>
      </c>
      <c r="TO61" s="99">
        <v>34.899280487804901</v>
      </c>
      <c r="TP61" s="99">
        <v>34.9531763602252</v>
      </c>
      <c r="TQ61" s="99">
        <v>35.007072232645399</v>
      </c>
      <c r="TR61" s="99">
        <v>35.060968105065697</v>
      </c>
      <c r="TS61" s="99">
        <v>35.114863977486003</v>
      </c>
      <c r="TT61" s="99">
        <v>35.168759849906202</v>
      </c>
      <c r="TU61" s="99">
        <v>35.2226557223265</v>
      </c>
      <c r="TV61" s="99">
        <v>35.276551594746699</v>
      </c>
      <c r="TW61" s="99">
        <v>35.330447467166998</v>
      </c>
      <c r="TX61" s="99">
        <v>35.384343339587303</v>
      </c>
      <c r="TY61" s="99">
        <v>35.438239212007502</v>
      </c>
      <c r="TZ61" s="99">
        <v>35.492135084427801</v>
      </c>
      <c r="UA61" s="99">
        <v>35.546030956848099</v>
      </c>
      <c r="UB61" s="99">
        <v>35.599926829268298</v>
      </c>
      <c r="UC61" s="99">
        <v>35.653822701688597</v>
      </c>
      <c r="UD61" s="99">
        <v>35.707718574108803</v>
      </c>
      <c r="UE61" s="99">
        <v>35.761614446529101</v>
      </c>
      <c r="UF61" s="99">
        <v>35.8155103189494</v>
      </c>
      <c r="UG61" s="99">
        <v>35.869406191369599</v>
      </c>
      <c r="UH61" s="99">
        <v>35.923302063789897</v>
      </c>
      <c r="UI61" s="99">
        <v>35.977197936210203</v>
      </c>
      <c r="UJ61" s="99">
        <v>36.031093808630402</v>
      </c>
      <c r="UK61" s="99">
        <v>36.0849896810507</v>
      </c>
      <c r="UL61" s="99">
        <v>36.138885553470899</v>
      </c>
      <c r="UM61" s="99">
        <v>36.192781425891198</v>
      </c>
      <c r="UN61" s="99">
        <v>36.246677298311504</v>
      </c>
      <c r="UO61" s="99">
        <v>36.300573170731703</v>
      </c>
      <c r="UP61" s="99">
        <v>36.354469043152001</v>
      </c>
      <c r="UQ61" s="99">
        <v>36.408364915572299</v>
      </c>
      <c r="UR61" s="99">
        <v>36.462260787992498</v>
      </c>
      <c r="US61" s="99">
        <v>36.516156660412797</v>
      </c>
      <c r="UT61" s="99">
        <v>36.570052532833103</v>
      </c>
    </row>
    <row r="62" spans="1:566" x14ac:dyDescent="0.2">
      <c r="A62" s="89">
        <v>28</v>
      </c>
      <c r="B62" s="90">
        <v>6.12</v>
      </c>
      <c r="C62" s="90">
        <v>6.17</v>
      </c>
      <c r="D62" s="90">
        <v>6.22</v>
      </c>
      <c r="E62" s="90">
        <v>6.28</v>
      </c>
      <c r="F62" s="90">
        <v>6.33</v>
      </c>
      <c r="G62" s="90">
        <v>6.38</v>
      </c>
      <c r="H62" s="90">
        <v>6.44</v>
      </c>
      <c r="I62" s="90">
        <v>6.49</v>
      </c>
      <c r="J62" s="90">
        <v>6.54</v>
      </c>
      <c r="K62" s="90">
        <v>6.6</v>
      </c>
      <c r="L62" s="90">
        <v>6.65</v>
      </c>
      <c r="M62" s="90">
        <v>6.7</v>
      </c>
      <c r="N62" s="90">
        <v>6.76</v>
      </c>
      <c r="O62" s="90">
        <v>6.81</v>
      </c>
      <c r="P62" s="90">
        <v>6.87</v>
      </c>
      <c r="Q62" s="90">
        <v>6.92</v>
      </c>
      <c r="R62" s="90">
        <v>6.97</v>
      </c>
      <c r="S62" s="90">
        <v>7.03</v>
      </c>
      <c r="T62" s="90">
        <v>7.08</v>
      </c>
      <c r="U62" s="91">
        <v>7.13</v>
      </c>
      <c r="V62" s="90">
        <v>7.19</v>
      </c>
      <c r="W62" s="90">
        <v>7.24</v>
      </c>
      <c r="X62" s="90">
        <v>7.29</v>
      </c>
      <c r="Y62" s="90">
        <v>7.35</v>
      </c>
      <c r="Z62" s="90">
        <v>7.4</v>
      </c>
      <c r="AA62" s="90">
        <v>7.45</v>
      </c>
      <c r="AB62" s="90">
        <v>7.51</v>
      </c>
      <c r="AC62" s="90">
        <v>7.56</v>
      </c>
      <c r="AD62" s="90">
        <v>7.61</v>
      </c>
      <c r="AE62" s="90">
        <v>7.67</v>
      </c>
      <c r="AF62" s="90">
        <v>7.72</v>
      </c>
      <c r="AG62" s="90">
        <v>7.77</v>
      </c>
      <c r="AH62" s="90">
        <v>7.83</v>
      </c>
      <c r="AI62" s="90">
        <v>7.88</v>
      </c>
      <c r="AJ62" s="90">
        <v>7.93</v>
      </c>
      <c r="AK62" s="90">
        <v>7.99</v>
      </c>
      <c r="AL62" s="90">
        <v>8.0399999999999991</v>
      </c>
      <c r="AM62" s="90">
        <v>8.1</v>
      </c>
      <c r="AN62" s="90">
        <v>8.15</v>
      </c>
      <c r="AO62" s="91">
        <v>8.1999999999999993</v>
      </c>
      <c r="AP62" s="90">
        <v>8.2554230769230799</v>
      </c>
      <c r="AQ62" s="90">
        <v>8.30889493433396</v>
      </c>
      <c r="AR62" s="90">
        <v>8.3623667917448508</v>
      </c>
      <c r="AS62" s="90">
        <v>8.4158386491557309</v>
      </c>
      <c r="AT62" s="90">
        <v>8.4693105065666092</v>
      </c>
      <c r="AU62" s="90">
        <v>8.5227823639774893</v>
      </c>
      <c r="AV62" s="90">
        <v>8.5762542213883695</v>
      </c>
      <c r="AW62" s="90">
        <v>8.6297260787992496</v>
      </c>
      <c r="AX62" s="90">
        <v>8.6831979362101404</v>
      </c>
      <c r="AY62" s="90">
        <v>8.7366697936210205</v>
      </c>
      <c r="AZ62" s="90">
        <v>8.7901416510319006</v>
      </c>
      <c r="BA62" s="90">
        <v>8.8436135084427807</v>
      </c>
      <c r="BB62" s="90">
        <v>8.8970853658536608</v>
      </c>
      <c r="BC62" s="90">
        <v>8.9505572232645392</v>
      </c>
      <c r="BD62" s="90">
        <v>9.00402908067543</v>
      </c>
      <c r="BE62" s="90">
        <v>9.0575009380863101</v>
      </c>
      <c r="BF62" s="90">
        <v>9.1109727954971902</v>
      </c>
      <c r="BG62" s="90">
        <v>9.1644446529080703</v>
      </c>
      <c r="BH62" s="90">
        <v>9.2179165103189504</v>
      </c>
      <c r="BI62" s="91">
        <v>9.2713883677298394</v>
      </c>
      <c r="BJ62" s="90">
        <v>9.3248602251407195</v>
      </c>
      <c r="BK62" s="99">
        <v>9.3783320825515997</v>
      </c>
      <c r="BL62" s="99">
        <v>9.4318039399624798</v>
      </c>
      <c r="BM62" s="99">
        <v>9.4852757973733599</v>
      </c>
      <c r="BN62" s="99">
        <v>9.53874765478424</v>
      </c>
      <c r="BO62" s="99">
        <v>9.5922195121951308</v>
      </c>
      <c r="BP62" s="99">
        <v>9.6456913696060091</v>
      </c>
      <c r="BQ62" s="99">
        <v>9.6991632270168893</v>
      </c>
      <c r="BR62" s="99">
        <v>9.7526350844277694</v>
      </c>
      <c r="BS62" s="99">
        <v>9.8061069418386495</v>
      </c>
      <c r="BT62" s="99">
        <v>9.8595787992495296</v>
      </c>
      <c r="BU62" s="99">
        <v>9.9130506566604204</v>
      </c>
      <c r="BV62" s="99">
        <v>9.9665225140713005</v>
      </c>
      <c r="BW62" s="99">
        <v>10.0199943714822</v>
      </c>
      <c r="BX62" s="99">
        <v>10.0734662288931</v>
      </c>
      <c r="BY62" s="99">
        <v>10.1269380863039</v>
      </c>
      <c r="BZ62" s="99">
        <v>10.1804099437148</v>
      </c>
      <c r="CA62" s="99">
        <v>10.233881801125699</v>
      </c>
      <c r="CB62" s="99">
        <v>10.287353658536601</v>
      </c>
      <c r="CC62" s="99">
        <v>10.3408255159475</v>
      </c>
      <c r="CD62" s="99">
        <v>10.394297373358301</v>
      </c>
      <c r="CE62" s="99">
        <v>10.4477692307692</v>
      </c>
      <c r="CF62" s="99">
        <v>10.5012410881801</v>
      </c>
      <c r="CG62" s="99">
        <v>10.554712945591</v>
      </c>
      <c r="CH62" s="99">
        <v>10.608184803001899</v>
      </c>
      <c r="CI62" s="99">
        <v>10.661656660412801</v>
      </c>
      <c r="CJ62" s="99">
        <v>10.715128517823601</v>
      </c>
      <c r="CK62" s="99">
        <v>10.768600375234501</v>
      </c>
      <c r="CL62" s="99">
        <v>10.8220722326454</v>
      </c>
      <c r="CM62" s="99">
        <v>10.8755440900563</v>
      </c>
      <c r="CN62" s="99">
        <v>10.9290159474672</v>
      </c>
      <c r="CO62" s="99">
        <v>10.982487804878</v>
      </c>
      <c r="CP62" s="99">
        <v>11.035959662288899</v>
      </c>
      <c r="CQ62" s="99">
        <v>11.089431519699801</v>
      </c>
      <c r="CR62" s="99">
        <v>11.1429033771107</v>
      </c>
      <c r="CS62" s="99">
        <v>11.1963752345216</v>
      </c>
      <c r="CT62" s="99">
        <v>11.2498470919325</v>
      </c>
      <c r="CU62" s="99">
        <v>11.3033189493433</v>
      </c>
      <c r="CV62" s="99">
        <v>11.3567908067542</v>
      </c>
      <c r="CW62" s="99">
        <v>11.410262664165099</v>
      </c>
      <c r="CX62" s="99">
        <v>11.463734521576001</v>
      </c>
      <c r="CY62" s="99">
        <v>11.5172063789869</v>
      </c>
      <c r="CZ62" s="99">
        <v>11.570678236397701</v>
      </c>
      <c r="DA62" s="99">
        <v>11.6241500938086</v>
      </c>
      <c r="DB62" s="99">
        <v>11.6776219512195</v>
      </c>
      <c r="DC62" s="99">
        <v>11.7310938086304</v>
      </c>
      <c r="DD62" s="99">
        <v>11.784565666041299</v>
      </c>
      <c r="DE62" s="99">
        <v>11.838037523452201</v>
      </c>
      <c r="DF62" s="99">
        <v>11.891509380863001</v>
      </c>
      <c r="DG62" s="99">
        <v>11.9449812382739</v>
      </c>
      <c r="DH62" s="99">
        <v>11.9984530956848</v>
      </c>
      <c r="DI62" s="99">
        <v>12.0519249530957</v>
      </c>
      <c r="DJ62" s="99">
        <v>12.105396810506599</v>
      </c>
      <c r="DK62" s="99">
        <v>12.1588686679174</v>
      </c>
      <c r="DL62" s="99">
        <v>12.212340525328299</v>
      </c>
      <c r="DM62" s="99">
        <v>12.265812382739201</v>
      </c>
      <c r="DN62" s="99">
        <v>12.3192842401501</v>
      </c>
      <c r="DO62" s="99">
        <v>12.372756097561</v>
      </c>
      <c r="DP62" s="99">
        <v>12.4262279549719</v>
      </c>
      <c r="DQ62" s="99">
        <v>12.4796998123827</v>
      </c>
      <c r="DR62" s="99">
        <v>12.5331716697936</v>
      </c>
      <c r="DS62" s="99">
        <v>12.586643527204499</v>
      </c>
      <c r="DT62" s="99">
        <v>12.640115384615401</v>
      </c>
      <c r="DU62" s="99">
        <v>12.6935872420263</v>
      </c>
      <c r="DV62" s="99">
        <v>12.7470590994371</v>
      </c>
      <c r="DW62" s="99">
        <v>12.800530956848</v>
      </c>
      <c r="DX62" s="99">
        <v>12.8540028142589</v>
      </c>
      <c r="DY62" s="99">
        <v>12.907474671669799</v>
      </c>
      <c r="DZ62" s="99">
        <v>12.960946529080701</v>
      </c>
      <c r="EA62" s="99">
        <v>13.014418386491601</v>
      </c>
      <c r="EB62" s="99">
        <v>13.067890243902401</v>
      </c>
      <c r="EC62" s="99">
        <v>13.1213621013133</v>
      </c>
      <c r="ED62" s="99">
        <v>13.1748339587242</v>
      </c>
      <c r="EE62" s="99">
        <v>13.2283058161351</v>
      </c>
      <c r="EF62" s="99">
        <v>13.281777673545999</v>
      </c>
      <c r="EG62" s="99">
        <v>13.3352495309568</v>
      </c>
      <c r="EH62" s="99">
        <v>13.388721388367699</v>
      </c>
      <c r="EI62" s="99">
        <v>13.442193245778601</v>
      </c>
      <c r="EJ62" s="99">
        <v>13.4956651031895</v>
      </c>
      <c r="EK62" s="99">
        <v>13.5491369606004</v>
      </c>
      <c r="EL62" s="99">
        <v>13.6026088180113</v>
      </c>
      <c r="EM62" s="99">
        <v>13.6560806754221</v>
      </c>
      <c r="EN62" s="99">
        <v>13.709552532832999</v>
      </c>
      <c r="EO62" s="99">
        <v>13.763024390243899</v>
      </c>
      <c r="EP62" s="99">
        <v>13.816496247654801</v>
      </c>
      <c r="EQ62" s="99">
        <v>13.8699681050657</v>
      </c>
      <c r="ER62" s="99">
        <v>13.9234399624765</v>
      </c>
      <c r="ES62" s="99">
        <v>13.9769118198874</v>
      </c>
      <c r="ET62" s="99">
        <v>14.0303836772983</v>
      </c>
      <c r="EU62" s="99">
        <v>14.083855534709199</v>
      </c>
      <c r="EV62" s="99">
        <v>14.137327392120101</v>
      </c>
      <c r="EW62" s="99">
        <v>14.190799249531</v>
      </c>
      <c r="EX62" s="99">
        <v>14.244271106941801</v>
      </c>
      <c r="EY62" s="99">
        <v>14.2977429643527</v>
      </c>
      <c r="EZ62" s="99">
        <v>14.3512148217636</v>
      </c>
      <c r="FA62" s="99">
        <v>14.4046866791745</v>
      </c>
      <c r="FB62" s="99">
        <v>14.458158536585399</v>
      </c>
      <c r="FC62" s="99">
        <v>14.511630393996199</v>
      </c>
      <c r="FD62" s="99">
        <v>14.565102251407099</v>
      </c>
      <c r="FE62" s="99">
        <v>14.618574108818001</v>
      </c>
      <c r="FF62" s="99">
        <v>14.6720459662289</v>
      </c>
      <c r="FG62" s="99">
        <v>14.7255178236398</v>
      </c>
      <c r="FH62" s="99">
        <v>14.7789896810507</v>
      </c>
      <c r="FI62" s="99">
        <v>14.8324615384615</v>
      </c>
      <c r="FJ62" s="99">
        <v>14.885933395872399</v>
      </c>
      <c r="FK62" s="99">
        <v>14.939405253283301</v>
      </c>
      <c r="FL62" s="99">
        <v>14.9928771106942</v>
      </c>
      <c r="FM62" s="99">
        <v>15.0463489681051</v>
      </c>
      <c r="FN62" s="99">
        <v>15.0998208255159</v>
      </c>
      <c r="FO62" s="99">
        <v>15.1532926829268</v>
      </c>
      <c r="FP62" s="99">
        <v>15.2067645403377</v>
      </c>
      <c r="FQ62" s="99">
        <v>15.260236397748599</v>
      </c>
      <c r="FR62" s="99">
        <v>15.313708255159501</v>
      </c>
      <c r="FS62" s="99">
        <v>15.3671801125704</v>
      </c>
      <c r="FT62" s="99">
        <v>15.420651969981201</v>
      </c>
      <c r="FU62" s="99">
        <v>15.4741238273921</v>
      </c>
      <c r="FV62" s="99">
        <v>15.527595684803</v>
      </c>
      <c r="FW62" s="99">
        <v>15.5810675422139</v>
      </c>
      <c r="FX62" s="99">
        <v>15.634539399624799</v>
      </c>
      <c r="FY62" s="99">
        <v>15.688011257035599</v>
      </c>
      <c r="FZ62" s="99">
        <v>15.741483114446501</v>
      </c>
      <c r="GA62" s="99">
        <v>15.7949549718574</v>
      </c>
      <c r="GB62" s="99">
        <v>15.8484268292683</v>
      </c>
      <c r="GC62" s="99">
        <v>15.9018986866792</v>
      </c>
      <c r="GD62" s="99">
        <v>15.955370544090099</v>
      </c>
      <c r="GE62" s="99">
        <v>16.0088424015009</v>
      </c>
      <c r="GF62" s="99">
        <v>16.062314258911801</v>
      </c>
      <c r="GG62" s="99">
        <v>16.115786116322699</v>
      </c>
      <c r="GH62" s="99">
        <v>16.1692579737336</v>
      </c>
      <c r="GI62" s="99">
        <v>16.222729831144498</v>
      </c>
      <c r="GJ62" s="99">
        <v>16.2762016885553</v>
      </c>
      <c r="GK62" s="99">
        <v>16.329673545966202</v>
      </c>
      <c r="GL62" s="99">
        <v>16.3831454033771</v>
      </c>
      <c r="GM62" s="99">
        <v>16.436617260788001</v>
      </c>
      <c r="GN62" s="99">
        <v>16.490089118198899</v>
      </c>
      <c r="GO62" s="99">
        <v>16.543560975609701</v>
      </c>
      <c r="GP62" s="99">
        <v>16.597032833020599</v>
      </c>
      <c r="GQ62" s="99">
        <v>16.6505046904315</v>
      </c>
      <c r="GR62" s="99">
        <v>16.703976547842402</v>
      </c>
      <c r="GS62" s="99">
        <v>16.757448405253299</v>
      </c>
      <c r="GT62" s="99">
        <v>16.810920262664201</v>
      </c>
      <c r="GU62" s="99">
        <v>16.864392120074999</v>
      </c>
      <c r="GV62" s="99">
        <v>16.917863977485901</v>
      </c>
      <c r="GW62" s="99">
        <v>16.971335834896799</v>
      </c>
      <c r="GX62" s="99">
        <v>17.0248076923077</v>
      </c>
      <c r="GY62" s="99">
        <v>17.078279549718602</v>
      </c>
      <c r="GZ62" s="99">
        <v>17.1317514071294</v>
      </c>
      <c r="HA62" s="99">
        <v>17.185223264540301</v>
      </c>
      <c r="HB62" s="99">
        <v>17.238695121951199</v>
      </c>
      <c r="HC62" s="99">
        <v>17.292166979362101</v>
      </c>
      <c r="HD62" s="99">
        <v>17.345638836772999</v>
      </c>
      <c r="HE62" s="99">
        <v>17.3991106941839</v>
      </c>
      <c r="HF62" s="99">
        <v>17.452582551594698</v>
      </c>
      <c r="HG62" s="99">
        <v>17.5060544090056</v>
      </c>
      <c r="HH62" s="99">
        <v>17.559526266416501</v>
      </c>
      <c r="HI62" s="99">
        <v>17.612998123827399</v>
      </c>
      <c r="HJ62" s="99">
        <v>17.666469981238301</v>
      </c>
      <c r="HK62" s="99">
        <v>17.719941838649099</v>
      </c>
      <c r="HL62" s="99">
        <v>17.77341369606</v>
      </c>
      <c r="HM62" s="99">
        <v>17.826885553470898</v>
      </c>
      <c r="HN62" s="99">
        <v>17.8803574108818</v>
      </c>
      <c r="HO62" s="99">
        <v>17.933829268292701</v>
      </c>
      <c r="HP62" s="99">
        <v>17.987301125703599</v>
      </c>
      <c r="HQ62" s="99">
        <v>18.040772983114401</v>
      </c>
      <c r="HR62" s="99">
        <v>18.094244840525299</v>
      </c>
      <c r="HS62" s="99">
        <v>18.1477166979362</v>
      </c>
      <c r="HT62" s="99">
        <v>18.201188555347098</v>
      </c>
      <c r="HU62" s="99">
        <v>18.254660412758</v>
      </c>
      <c r="HV62" s="99">
        <v>18.308132270168802</v>
      </c>
      <c r="HW62" s="99">
        <v>18.3616041275797</v>
      </c>
      <c r="HX62" s="99">
        <v>18.415075984990601</v>
      </c>
      <c r="HY62" s="99">
        <v>18.468547842401499</v>
      </c>
      <c r="HZ62" s="99">
        <v>18.5220196998124</v>
      </c>
      <c r="IA62" s="99">
        <v>18.575491557223302</v>
      </c>
      <c r="IB62" s="99">
        <v>18.6289634146341</v>
      </c>
      <c r="IC62" s="99">
        <v>18.682435272045002</v>
      </c>
      <c r="ID62" s="99">
        <v>18.735907129455899</v>
      </c>
      <c r="IE62" s="99">
        <v>18.789378986866801</v>
      </c>
      <c r="IF62" s="99">
        <v>18.842850844277699</v>
      </c>
      <c r="IG62" s="99">
        <v>18.896322701688501</v>
      </c>
      <c r="IH62" s="99">
        <v>18.949794559099399</v>
      </c>
      <c r="II62" s="99">
        <v>19.0032664165103</v>
      </c>
      <c r="IJ62" s="99">
        <v>19.056738273921201</v>
      </c>
      <c r="IK62" s="99">
        <v>19.110210131332099</v>
      </c>
      <c r="IL62" s="99">
        <v>19.163681988743001</v>
      </c>
      <c r="IM62" s="99">
        <v>19.217153846153799</v>
      </c>
      <c r="IN62" s="99">
        <v>19.270625703564701</v>
      </c>
      <c r="IO62" s="99">
        <v>19.324097560975598</v>
      </c>
      <c r="IP62" s="99">
        <v>19.3775694183865</v>
      </c>
      <c r="IQ62" s="99">
        <v>19.431041275797401</v>
      </c>
      <c r="IR62" s="99">
        <v>19.4845131332082</v>
      </c>
      <c r="IS62" s="99">
        <v>19.537984990619101</v>
      </c>
      <c r="IT62" s="99">
        <v>19.591456848029999</v>
      </c>
      <c r="IU62" s="99">
        <v>19.644928705440901</v>
      </c>
      <c r="IV62" s="99">
        <v>19.698400562851798</v>
      </c>
      <c r="IW62" s="99">
        <v>19.7518724202627</v>
      </c>
      <c r="IX62" s="99">
        <v>19.805344277673498</v>
      </c>
      <c r="IY62" s="99">
        <v>19.8588161350844</v>
      </c>
      <c r="IZ62" s="99">
        <v>19.912287992495301</v>
      </c>
      <c r="JA62" s="99">
        <v>19.965759849906199</v>
      </c>
      <c r="JB62" s="99">
        <v>20.0192317073171</v>
      </c>
      <c r="JC62" s="99">
        <v>20.072703564727899</v>
      </c>
      <c r="JD62" s="99">
        <v>20.1261754221388</v>
      </c>
      <c r="JE62" s="99">
        <v>20.179647279549702</v>
      </c>
      <c r="JF62" s="99">
        <v>20.2331191369606</v>
      </c>
      <c r="JG62" s="99">
        <v>20.286590994371501</v>
      </c>
      <c r="JH62" s="99">
        <v>20.340062851782399</v>
      </c>
      <c r="JI62" s="99">
        <v>20.393534709193201</v>
      </c>
      <c r="JJ62" s="99">
        <v>20.447006566604099</v>
      </c>
      <c r="JK62" s="99">
        <v>20.500478424015</v>
      </c>
      <c r="JL62" s="99">
        <v>20.553950281425902</v>
      </c>
      <c r="JM62" s="99">
        <v>20.6074221388368</v>
      </c>
      <c r="JN62" s="99">
        <v>20.660893996247601</v>
      </c>
      <c r="JO62" s="99">
        <v>20.714365853658499</v>
      </c>
      <c r="JP62" s="99">
        <v>20.767837711069401</v>
      </c>
      <c r="JQ62" s="99">
        <v>20.821309568480299</v>
      </c>
      <c r="JR62" s="99">
        <v>20.8747814258912</v>
      </c>
      <c r="JS62" s="99">
        <v>20.928253283302102</v>
      </c>
      <c r="JT62" s="99">
        <v>20.9817251407129</v>
      </c>
      <c r="JU62" s="99">
        <v>21.035196998123801</v>
      </c>
      <c r="JV62" s="99">
        <v>21.088668855534699</v>
      </c>
      <c r="JW62" s="99">
        <v>21.142140712945601</v>
      </c>
      <c r="JX62" s="99">
        <v>21.195612570356499</v>
      </c>
      <c r="JY62" s="99">
        <v>21.249084427767301</v>
      </c>
      <c r="JZ62" s="99">
        <v>21.302556285178198</v>
      </c>
      <c r="KA62" s="99">
        <v>21.3560281425891</v>
      </c>
      <c r="KB62" s="99">
        <v>21.409500000000001</v>
      </c>
      <c r="KC62" s="99">
        <v>21.462971857410899</v>
      </c>
      <c r="KD62" s="99">
        <v>21.516443714821801</v>
      </c>
      <c r="KE62" s="99">
        <v>21.569915572232599</v>
      </c>
      <c r="KF62" s="99">
        <v>21.6233874296435</v>
      </c>
      <c r="KG62" s="99">
        <v>21.676859287054398</v>
      </c>
      <c r="KH62" s="99">
        <v>21.7303311444653</v>
      </c>
      <c r="KI62" s="99">
        <v>21.783803001876201</v>
      </c>
      <c r="KJ62" s="99">
        <v>21.837274859287</v>
      </c>
      <c r="KK62" s="99">
        <v>21.890746716697901</v>
      </c>
      <c r="KL62" s="99">
        <v>21.944218574108799</v>
      </c>
      <c r="KM62" s="99">
        <v>21.9976904315197</v>
      </c>
      <c r="KN62" s="99">
        <v>22.051162288930598</v>
      </c>
      <c r="KO62" s="99">
        <v>22.1046341463415</v>
      </c>
      <c r="KP62" s="99">
        <v>22.158106003752302</v>
      </c>
      <c r="KQ62" s="99">
        <v>22.2115778611632</v>
      </c>
      <c r="KR62" s="99">
        <v>22.265049718574101</v>
      </c>
      <c r="KS62" s="99">
        <v>22.318521575984999</v>
      </c>
      <c r="KT62" s="99">
        <v>22.3719934333959</v>
      </c>
      <c r="KU62" s="99">
        <v>22.425465290806699</v>
      </c>
      <c r="KV62" s="99">
        <v>22.4789371482176</v>
      </c>
      <c r="KW62" s="99">
        <v>22.532409005628502</v>
      </c>
      <c r="KX62" s="99">
        <v>22.585880863039399</v>
      </c>
      <c r="KY62" s="99">
        <v>22.639352720450301</v>
      </c>
      <c r="KZ62" s="99">
        <v>22.692824577861199</v>
      </c>
      <c r="LA62" s="99">
        <v>22.746296435272001</v>
      </c>
      <c r="LB62" s="99">
        <v>22.799768292682899</v>
      </c>
      <c r="LC62" s="99">
        <v>22.8532401500938</v>
      </c>
      <c r="LD62" s="99">
        <v>22.906712007504701</v>
      </c>
      <c r="LE62" s="99">
        <v>22.960183864915599</v>
      </c>
      <c r="LF62" s="99">
        <v>23.013655722326401</v>
      </c>
      <c r="LG62" s="99">
        <v>23.067127579737299</v>
      </c>
      <c r="LH62" s="99">
        <v>23.120599437148201</v>
      </c>
      <c r="LI62" s="99">
        <v>23.174071294559099</v>
      </c>
      <c r="LJ62" s="99">
        <v>23.22754315197</v>
      </c>
      <c r="LK62" s="99">
        <v>23.281015009380901</v>
      </c>
      <c r="LL62" s="99">
        <v>23.3344868667917</v>
      </c>
      <c r="LM62" s="99">
        <v>23.387958724202601</v>
      </c>
      <c r="LN62" s="99">
        <v>23.441430581613499</v>
      </c>
      <c r="LO62" s="99">
        <v>23.494902439024401</v>
      </c>
      <c r="LP62" s="99">
        <v>23.548374296435298</v>
      </c>
      <c r="LQ62" s="99">
        <v>23.6018461538461</v>
      </c>
      <c r="LR62" s="99">
        <v>23.655318011256998</v>
      </c>
      <c r="LS62" s="99">
        <v>23.7087898686679</v>
      </c>
      <c r="LT62" s="99">
        <v>23.762261726078801</v>
      </c>
      <c r="LU62" s="99">
        <v>23.815733583489699</v>
      </c>
      <c r="LV62" s="99">
        <v>23.8692054409006</v>
      </c>
      <c r="LW62" s="99">
        <v>23.922677298311399</v>
      </c>
      <c r="LX62" s="99">
        <v>23.9761491557223</v>
      </c>
      <c r="LY62" s="99">
        <v>24.029621013133202</v>
      </c>
      <c r="LZ62" s="99">
        <v>24.0830928705441</v>
      </c>
      <c r="MA62" s="99">
        <v>24.136564727955001</v>
      </c>
      <c r="MB62" s="99">
        <v>24.190036585365799</v>
      </c>
      <c r="MC62" s="99">
        <v>24.243508442776701</v>
      </c>
      <c r="MD62" s="99">
        <v>24.296980300187599</v>
      </c>
      <c r="ME62" s="99">
        <v>24.3504521575985</v>
      </c>
      <c r="MF62" s="99">
        <v>24.403924015009402</v>
      </c>
      <c r="MG62" s="99">
        <v>24.4573958724203</v>
      </c>
      <c r="MH62" s="99">
        <v>24.510867729831102</v>
      </c>
      <c r="MI62" s="99">
        <v>24.564339587241999</v>
      </c>
      <c r="MJ62" s="99">
        <v>24.617811444652901</v>
      </c>
      <c r="MK62" s="99">
        <v>24.671283302063799</v>
      </c>
      <c r="ML62" s="99">
        <v>24.7247551594747</v>
      </c>
      <c r="MM62" s="99">
        <v>24.778227016885499</v>
      </c>
      <c r="MN62" s="99">
        <v>24.8316988742964</v>
      </c>
      <c r="MO62" s="99">
        <v>24.885170731707301</v>
      </c>
      <c r="MP62" s="99">
        <v>24.938642589118199</v>
      </c>
      <c r="MQ62" s="99">
        <v>24.992114446529101</v>
      </c>
      <c r="MR62" s="99">
        <v>25.045586303939999</v>
      </c>
      <c r="MS62" s="99">
        <v>25.099058161350801</v>
      </c>
      <c r="MT62" s="99">
        <v>25.152530018761698</v>
      </c>
      <c r="MU62" s="99">
        <v>25.2060018761726</v>
      </c>
      <c r="MV62" s="99">
        <v>25.259473733583501</v>
      </c>
      <c r="MW62" s="99">
        <v>25.312945590994399</v>
      </c>
      <c r="MX62" s="99">
        <v>25.366417448405201</v>
      </c>
      <c r="MY62" s="99">
        <v>25.419889305816099</v>
      </c>
      <c r="MZ62" s="99">
        <v>25.473361163227001</v>
      </c>
      <c r="NA62" s="99">
        <v>25.526833020637898</v>
      </c>
      <c r="NB62" s="99">
        <v>25.5803048780488</v>
      </c>
      <c r="NC62" s="99">
        <v>25.633776735459701</v>
      </c>
      <c r="ND62" s="99">
        <v>25.6872485928705</v>
      </c>
      <c r="NE62" s="99">
        <v>25.740720450281401</v>
      </c>
      <c r="NF62" s="99">
        <v>25.794192307692299</v>
      </c>
      <c r="NG62" s="99">
        <v>25.8476641651032</v>
      </c>
      <c r="NH62" s="99">
        <v>25.901136022514098</v>
      </c>
      <c r="NI62" s="99">
        <v>25.9546078799249</v>
      </c>
      <c r="NJ62" s="99">
        <v>26.008079737335802</v>
      </c>
      <c r="NK62" s="99">
        <v>26.0615515947467</v>
      </c>
      <c r="NL62" s="99">
        <v>26.115023452157601</v>
      </c>
      <c r="NM62" s="99">
        <v>26.168495309568499</v>
      </c>
      <c r="NN62" s="99">
        <v>26.2219671669794</v>
      </c>
      <c r="NO62" s="99">
        <v>26.275439024390199</v>
      </c>
      <c r="NP62" s="99">
        <v>26.3289108818011</v>
      </c>
      <c r="NQ62" s="99">
        <v>26.382382739212002</v>
      </c>
      <c r="NR62" s="99">
        <v>26.435854596622899</v>
      </c>
      <c r="NS62" s="99">
        <v>26.489326454033801</v>
      </c>
      <c r="NT62" s="99">
        <v>26.542798311444599</v>
      </c>
      <c r="NU62" s="99">
        <v>26.596270168855501</v>
      </c>
      <c r="NV62" s="99">
        <v>26.649742026266399</v>
      </c>
      <c r="NW62" s="99">
        <v>26.7032138836773</v>
      </c>
      <c r="NX62" s="99">
        <v>26.756685741088202</v>
      </c>
      <c r="NY62" s="99">
        <v>26.810157598499</v>
      </c>
      <c r="NZ62" s="99">
        <v>26.863629455909901</v>
      </c>
      <c r="OA62" s="99">
        <v>26.917101313320799</v>
      </c>
      <c r="OB62" s="99">
        <v>26.970573170731701</v>
      </c>
      <c r="OC62" s="99">
        <v>27.024045028142599</v>
      </c>
      <c r="OD62" s="99">
        <v>27.0775168855535</v>
      </c>
      <c r="OE62" s="99">
        <v>27.130988742964298</v>
      </c>
      <c r="OF62" s="99">
        <v>27.1844606003752</v>
      </c>
      <c r="OG62" s="99">
        <v>27.237932457786101</v>
      </c>
      <c r="OH62" s="99">
        <v>27.291404315196999</v>
      </c>
      <c r="OI62" s="99">
        <v>27.344876172607901</v>
      </c>
      <c r="OJ62" s="99">
        <v>27.398348030018798</v>
      </c>
      <c r="OK62" s="99">
        <v>27.4518198874296</v>
      </c>
      <c r="OL62" s="99">
        <v>27.505291744840498</v>
      </c>
      <c r="OM62" s="99">
        <v>27.5587636022514</v>
      </c>
      <c r="ON62" s="99">
        <v>27.612235459662301</v>
      </c>
      <c r="OO62" s="99">
        <v>27.665707317073199</v>
      </c>
      <c r="OP62" s="99">
        <v>27.719179174484001</v>
      </c>
      <c r="OQ62" s="99">
        <v>27.772651031894899</v>
      </c>
      <c r="OR62" s="99">
        <v>27.8261228893058</v>
      </c>
      <c r="OS62" s="99">
        <v>27.879594746716698</v>
      </c>
      <c r="OT62" s="99">
        <v>27.9330666041276</v>
      </c>
      <c r="OU62" s="99">
        <v>27.986538461538501</v>
      </c>
      <c r="OV62" s="99">
        <v>28.0400103189493</v>
      </c>
      <c r="OW62" s="99">
        <v>28.093482176360201</v>
      </c>
      <c r="OX62" s="99">
        <v>28.146954033771099</v>
      </c>
      <c r="OY62" s="99">
        <v>28.200425891182</v>
      </c>
      <c r="OZ62" s="99">
        <v>28.253897748592902</v>
      </c>
      <c r="PA62" s="99">
        <v>28.3073696060037</v>
      </c>
      <c r="PB62" s="99">
        <v>28.360841463414602</v>
      </c>
      <c r="PC62" s="99">
        <v>28.414313320825499</v>
      </c>
      <c r="PD62" s="99">
        <v>28.467785178236401</v>
      </c>
      <c r="PE62" s="99">
        <v>28.521257035647299</v>
      </c>
      <c r="PF62" s="99">
        <v>28.574728893058101</v>
      </c>
      <c r="PG62" s="99">
        <v>28.628200750468999</v>
      </c>
      <c r="PH62" s="99">
        <v>28.6816726078799</v>
      </c>
      <c r="PI62" s="99">
        <v>28.735144465290801</v>
      </c>
      <c r="PJ62" s="99">
        <v>28.788616322701699</v>
      </c>
      <c r="PK62" s="99">
        <v>28.842088180112601</v>
      </c>
      <c r="PL62" s="99">
        <v>28.895560037523399</v>
      </c>
      <c r="PM62" s="99">
        <v>28.949031894934301</v>
      </c>
      <c r="PN62" s="99">
        <v>29.002503752345199</v>
      </c>
      <c r="PO62" s="99">
        <v>29.0559756097561</v>
      </c>
      <c r="PP62" s="99">
        <v>29.109447467167001</v>
      </c>
      <c r="PQ62" s="99">
        <v>29.1629193245778</v>
      </c>
      <c r="PR62" s="99">
        <v>29.216391181988701</v>
      </c>
      <c r="PS62" s="99">
        <v>29.269863039399599</v>
      </c>
      <c r="PT62" s="99">
        <v>29.323334896810501</v>
      </c>
      <c r="PU62" s="99">
        <v>29.376806754221398</v>
      </c>
      <c r="PV62" s="99">
        <v>29.4302786116323</v>
      </c>
      <c r="PW62" s="99">
        <v>29.483750469043098</v>
      </c>
      <c r="PX62" s="99">
        <v>29.537222326454</v>
      </c>
      <c r="PY62" s="99">
        <v>29.590694183864901</v>
      </c>
      <c r="PZ62" s="99">
        <v>29.644166041275799</v>
      </c>
      <c r="QA62" s="99">
        <v>29.6976378986867</v>
      </c>
      <c r="QB62" s="99">
        <v>29.751109756097499</v>
      </c>
      <c r="QC62" s="99">
        <v>29.8045816135084</v>
      </c>
      <c r="QD62" s="99">
        <v>29.858053470919302</v>
      </c>
      <c r="QE62" s="99">
        <v>29.9115253283302</v>
      </c>
      <c r="QF62" s="99">
        <v>29.964997185741101</v>
      </c>
      <c r="QG62" s="99">
        <v>30.018469043151999</v>
      </c>
      <c r="QH62" s="99">
        <v>30.071940900562801</v>
      </c>
      <c r="QI62" s="99">
        <v>30.125412757973699</v>
      </c>
      <c r="QJ62" s="99">
        <v>30.1788846153846</v>
      </c>
      <c r="QK62" s="99">
        <v>30.232356472795502</v>
      </c>
      <c r="QL62" s="99">
        <v>30.2858283302064</v>
      </c>
      <c r="QM62" s="99">
        <v>30.339300187617201</v>
      </c>
      <c r="QN62" s="99">
        <v>30.392772045028099</v>
      </c>
      <c r="QO62" s="99">
        <v>30.446243902439001</v>
      </c>
      <c r="QP62" s="99">
        <v>30.499715759849899</v>
      </c>
      <c r="QQ62" s="99">
        <v>30.5531876172608</v>
      </c>
      <c r="QR62" s="99">
        <v>30.606659474671702</v>
      </c>
      <c r="QS62" s="99">
        <v>30.6601313320825</v>
      </c>
      <c r="QT62" s="99">
        <v>30.713603189493401</v>
      </c>
      <c r="QU62" s="99">
        <v>30.767075046904299</v>
      </c>
      <c r="QV62" s="99">
        <v>30.820546904315201</v>
      </c>
      <c r="QW62" s="99">
        <v>30.874018761726099</v>
      </c>
      <c r="QX62" s="99">
        <v>30.927490619136901</v>
      </c>
      <c r="QY62" s="99">
        <v>30.980962476547798</v>
      </c>
      <c r="QZ62" s="99">
        <v>31.0344343339587</v>
      </c>
      <c r="RA62" s="99">
        <v>31.087906191369601</v>
      </c>
      <c r="RB62" s="99">
        <v>31.141378048780499</v>
      </c>
      <c r="RC62" s="99">
        <v>31.194849906191401</v>
      </c>
      <c r="RD62" s="99">
        <v>31.248321763602199</v>
      </c>
      <c r="RE62" s="99">
        <v>31.3017936210131</v>
      </c>
      <c r="RF62" s="99">
        <v>31.355265478423998</v>
      </c>
      <c r="RG62" s="99">
        <v>31.4087373358349</v>
      </c>
      <c r="RH62" s="99">
        <v>31.462209193245801</v>
      </c>
      <c r="RI62" s="99">
        <v>31.5156810506566</v>
      </c>
      <c r="RJ62" s="99">
        <v>31.569152908067501</v>
      </c>
      <c r="RK62" s="99">
        <v>31.622624765478399</v>
      </c>
      <c r="RL62" s="99">
        <v>31.6760966228893</v>
      </c>
      <c r="RM62" s="99">
        <v>31.729568480300198</v>
      </c>
      <c r="RN62" s="99">
        <v>31.7830403377111</v>
      </c>
      <c r="RO62" s="99">
        <v>31.836512195121902</v>
      </c>
      <c r="RP62" s="99">
        <v>31.8899840525328</v>
      </c>
      <c r="RQ62" s="99">
        <v>31.943455909943701</v>
      </c>
      <c r="RR62" s="99">
        <v>31.996927767354599</v>
      </c>
      <c r="RS62" s="99">
        <v>32.050399624765497</v>
      </c>
      <c r="RT62" s="99">
        <v>32.103871482176302</v>
      </c>
      <c r="RU62" s="99">
        <v>32.1573433395872</v>
      </c>
      <c r="RV62" s="99">
        <v>32.210815196998098</v>
      </c>
      <c r="RW62" s="99">
        <v>32.264287054409003</v>
      </c>
      <c r="RX62" s="99">
        <v>32.317758911819901</v>
      </c>
      <c r="RY62" s="99">
        <v>32.371230769230799</v>
      </c>
      <c r="RZ62" s="99">
        <v>32.424702626641597</v>
      </c>
      <c r="SA62" s="99">
        <v>32.478174484052502</v>
      </c>
      <c r="SB62" s="99">
        <v>32.5316463414634</v>
      </c>
      <c r="SC62" s="99">
        <v>32.585118198874298</v>
      </c>
      <c r="SD62" s="99">
        <v>32.638590056285203</v>
      </c>
      <c r="SE62" s="99">
        <v>32.692061913696001</v>
      </c>
      <c r="SF62" s="99">
        <v>32.745533771106899</v>
      </c>
      <c r="SG62" s="99">
        <v>32.799005628517797</v>
      </c>
      <c r="SH62" s="99">
        <v>32.852477485928702</v>
      </c>
      <c r="SI62" s="99">
        <v>32.9059493433396</v>
      </c>
      <c r="SJ62" s="99">
        <v>32.959421200750498</v>
      </c>
      <c r="SK62" s="99">
        <v>33.012893058161303</v>
      </c>
      <c r="SL62" s="99">
        <v>33.066364915572201</v>
      </c>
      <c r="SM62" s="99">
        <v>33.119836772983099</v>
      </c>
      <c r="SN62" s="99">
        <v>33.173308630393997</v>
      </c>
      <c r="SO62" s="99">
        <v>33.226780487804902</v>
      </c>
      <c r="SP62" s="99">
        <v>33.2802523452157</v>
      </c>
      <c r="SQ62" s="99">
        <v>33.333724202626598</v>
      </c>
      <c r="SR62" s="99">
        <v>33.387196060037503</v>
      </c>
      <c r="SS62" s="99">
        <v>33.440667917448401</v>
      </c>
      <c r="ST62" s="99">
        <v>33.494139774859299</v>
      </c>
      <c r="SU62" s="99">
        <v>33.547611632270197</v>
      </c>
      <c r="SV62" s="99">
        <v>33.601083489681002</v>
      </c>
      <c r="SW62" s="99">
        <v>33.6545553470919</v>
      </c>
      <c r="SX62" s="99">
        <v>33.708027204502798</v>
      </c>
      <c r="SY62" s="99">
        <v>33.761499061913703</v>
      </c>
      <c r="SZ62" s="99">
        <v>33.814970919324601</v>
      </c>
      <c r="TA62" s="99">
        <v>33.868442776735399</v>
      </c>
      <c r="TB62" s="99">
        <v>33.921914634146297</v>
      </c>
      <c r="TC62" s="99">
        <v>33.975386491557202</v>
      </c>
      <c r="TD62" s="99">
        <v>34.0288583489681</v>
      </c>
      <c r="TE62" s="99">
        <v>34.082330206378998</v>
      </c>
      <c r="TF62" s="99">
        <v>34.135802063789903</v>
      </c>
      <c r="TG62" s="99">
        <v>34.189273921200702</v>
      </c>
      <c r="TH62" s="99">
        <v>34.242745778611599</v>
      </c>
      <c r="TI62" s="99">
        <v>34.296217636022497</v>
      </c>
      <c r="TJ62" s="99">
        <v>34.349689493433402</v>
      </c>
      <c r="TK62" s="99">
        <v>34.4031613508443</v>
      </c>
      <c r="TL62" s="99">
        <v>34.456633208255099</v>
      </c>
      <c r="TM62" s="99">
        <v>34.510105065665996</v>
      </c>
      <c r="TN62" s="99">
        <v>34.563576923076901</v>
      </c>
      <c r="TO62" s="99">
        <v>34.617048780487799</v>
      </c>
      <c r="TP62" s="99">
        <v>34.670520637898697</v>
      </c>
      <c r="TQ62" s="99">
        <v>34.723992495309602</v>
      </c>
      <c r="TR62" s="99">
        <v>34.777464352720401</v>
      </c>
      <c r="TS62" s="99">
        <v>34.830936210131298</v>
      </c>
      <c r="TT62" s="99">
        <v>34.884408067542203</v>
      </c>
      <c r="TU62" s="99">
        <v>34.937879924953101</v>
      </c>
      <c r="TV62" s="99">
        <v>34.991351782363999</v>
      </c>
      <c r="TW62" s="99">
        <v>35.044823639774798</v>
      </c>
      <c r="TX62" s="99">
        <v>35.098295497185703</v>
      </c>
      <c r="TY62" s="99">
        <v>35.151767354596601</v>
      </c>
      <c r="TZ62" s="99">
        <v>35.205239212007498</v>
      </c>
      <c r="UA62" s="99">
        <v>35.258711069418403</v>
      </c>
      <c r="UB62" s="99">
        <v>35.312182926829301</v>
      </c>
      <c r="UC62" s="99">
        <v>35.3656547842401</v>
      </c>
      <c r="UD62" s="99">
        <v>35.419126641650998</v>
      </c>
      <c r="UE62" s="99">
        <v>35.472598499061903</v>
      </c>
      <c r="UF62" s="99">
        <v>35.5260703564728</v>
      </c>
      <c r="UG62" s="99">
        <v>35.579542213883698</v>
      </c>
      <c r="UH62" s="99">
        <v>35.633014071294497</v>
      </c>
      <c r="UI62" s="99">
        <v>35.686485928705402</v>
      </c>
      <c r="UJ62" s="99">
        <v>35.7399577861163</v>
      </c>
      <c r="UK62" s="99">
        <v>35.793429643527197</v>
      </c>
      <c r="UL62" s="99">
        <v>35.846901500938102</v>
      </c>
      <c r="UM62" s="99">
        <v>35.900373358349</v>
      </c>
      <c r="UN62" s="99">
        <v>35.953845215759799</v>
      </c>
      <c r="UO62" s="99">
        <v>36.007317073170697</v>
      </c>
      <c r="UP62" s="99">
        <v>36.060788930581602</v>
      </c>
      <c r="UQ62" s="99">
        <v>36.1142607879925</v>
      </c>
      <c r="UR62" s="99">
        <v>36.167732645403397</v>
      </c>
      <c r="US62" s="99">
        <v>36.221204502814203</v>
      </c>
      <c r="UT62" s="99">
        <v>36.274676360225101</v>
      </c>
    </row>
    <row r="63" spans="1:566" x14ac:dyDescent="0.2">
      <c r="A63" s="89">
        <v>28.5</v>
      </c>
      <c r="B63" s="90">
        <v>6.06</v>
      </c>
      <c r="C63" s="90">
        <v>6.11</v>
      </c>
      <c r="D63" s="90">
        <v>6.17</v>
      </c>
      <c r="E63" s="90">
        <v>6.22</v>
      </c>
      <c r="F63" s="90">
        <v>6.27</v>
      </c>
      <c r="G63" s="90">
        <v>6.33</v>
      </c>
      <c r="H63" s="90">
        <v>6.38</v>
      </c>
      <c r="I63" s="90">
        <v>6.43</v>
      </c>
      <c r="J63" s="90">
        <v>6.49</v>
      </c>
      <c r="K63" s="90">
        <v>6.54</v>
      </c>
      <c r="L63" s="90">
        <v>6.59</v>
      </c>
      <c r="M63" s="90">
        <v>6.64</v>
      </c>
      <c r="N63" s="90">
        <v>6.7</v>
      </c>
      <c r="O63" s="90">
        <v>6.75</v>
      </c>
      <c r="P63" s="90">
        <v>6.8</v>
      </c>
      <c r="Q63" s="90">
        <v>6.86</v>
      </c>
      <c r="R63" s="90">
        <v>6.91</v>
      </c>
      <c r="S63" s="90">
        <v>6.96</v>
      </c>
      <c r="T63" s="90">
        <v>7.02</v>
      </c>
      <c r="U63" s="91">
        <v>7.07</v>
      </c>
      <c r="V63" s="90">
        <v>7.12</v>
      </c>
      <c r="W63" s="90">
        <v>7.18</v>
      </c>
      <c r="X63" s="90">
        <v>7.23</v>
      </c>
      <c r="Y63" s="90">
        <v>7.28</v>
      </c>
      <c r="Z63" s="90">
        <v>7.33</v>
      </c>
      <c r="AA63" s="90">
        <v>7.39</v>
      </c>
      <c r="AB63" s="90">
        <v>7.44</v>
      </c>
      <c r="AC63" s="90">
        <v>7.49</v>
      </c>
      <c r="AD63" s="90">
        <v>7.55</v>
      </c>
      <c r="AE63" s="90">
        <v>7.6</v>
      </c>
      <c r="AF63" s="90">
        <v>7.65</v>
      </c>
      <c r="AG63" s="90">
        <v>7.71</v>
      </c>
      <c r="AH63" s="90">
        <v>7.76</v>
      </c>
      <c r="AI63" s="90">
        <v>7.81</v>
      </c>
      <c r="AJ63" s="90">
        <v>7.87</v>
      </c>
      <c r="AK63" s="90">
        <v>7.92</v>
      </c>
      <c r="AL63" s="90">
        <v>7.97</v>
      </c>
      <c r="AM63" s="90">
        <v>8.02</v>
      </c>
      <c r="AN63" s="90">
        <v>8.08</v>
      </c>
      <c r="AO63" s="91">
        <v>8.1300000000000008</v>
      </c>
      <c r="AP63" s="90">
        <v>8.1838846153846205</v>
      </c>
      <c r="AQ63" s="90">
        <v>8.2369643527204506</v>
      </c>
      <c r="AR63" s="90">
        <v>8.2900440900562895</v>
      </c>
      <c r="AS63" s="90">
        <v>8.3431238273921196</v>
      </c>
      <c r="AT63" s="90">
        <v>8.3962035647279603</v>
      </c>
      <c r="AU63" s="90">
        <v>8.4492833020637903</v>
      </c>
      <c r="AV63" s="90">
        <v>8.5023630393996292</v>
      </c>
      <c r="AW63" s="90">
        <v>8.5554427767354593</v>
      </c>
      <c r="AX63" s="90">
        <v>8.6085225140713</v>
      </c>
      <c r="AY63" s="90">
        <v>8.66160225140713</v>
      </c>
      <c r="AZ63" s="90">
        <v>8.7146819887429707</v>
      </c>
      <c r="BA63" s="90">
        <v>8.7677617260788008</v>
      </c>
      <c r="BB63" s="90">
        <v>8.8208414634146397</v>
      </c>
      <c r="BC63" s="90">
        <v>8.8739212007504698</v>
      </c>
      <c r="BD63" s="90">
        <v>8.9270009380862998</v>
      </c>
      <c r="BE63" s="90">
        <v>8.9800806754221405</v>
      </c>
      <c r="BF63" s="90">
        <v>9.0331604127579705</v>
      </c>
      <c r="BG63" s="90">
        <v>9.0862401500938095</v>
      </c>
      <c r="BH63" s="90">
        <v>9.1393198874296395</v>
      </c>
      <c r="BI63" s="91">
        <v>9.1923996247654802</v>
      </c>
      <c r="BJ63" s="90">
        <v>9.2454793621013103</v>
      </c>
      <c r="BK63" s="99">
        <v>9.2985590994371492</v>
      </c>
      <c r="BL63" s="99">
        <v>9.3516388367729792</v>
      </c>
      <c r="BM63" s="99">
        <v>9.40471857410882</v>
      </c>
      <c r="BN63" s="99">
        <v>9.45779831144465</v>
      </c>
      <c r="BO63" s="99">
        <v>9.5108780487804907</v>
      </c>
      <c r="BP63" s="99">
        <v>9.5639577861163207</v>
      </c>
      <c r="BQ63" s="99">
        <v>9.6170375234521597</v>
      </c>
      <c r="BR63" s="99">
        <v>9.6701172607879897</v>
      </c>
      <c r="BS63" s="99">
        <v>9.7231969981238304</v>
      </c>
      <c r="BT63" s="99">
        <v>9.7762767354596605</v>
      </c>
      <c r="BU63" s="99">
        <v>9.8293564727954994</v>
      </c>
      <c r="BV63" s="99">
        <v>9.8824362101313294</v>
      </c>
      <c r="BW63" s="99">
        <v>9.9355159474671702</v>
      </c>
      <c r="BX63" s="99">
        <v>9.9885956848030002</v>
      </c>
      <c r="BY63" s="99">
        <v>10.0416754221388</v>
      </c>
      <c r="BZ63" s="99">
        <v>10.094755159474699</v>
      </c>
      <c r="CA63" s="99">
        <v>10.147834896810499</v>
      </c>
      <c r="CB63" s="99">
        <v>10.200914634146301</v>
      </c>
      <c r="CC63" s="99">
        <v>10.2539943714822</v>
      </c>
      <c r="CD63" s="99">
        <v>10.307074108818</v>
      </c>
      <c r="CE63" s="99">
        <v>10.3601538461538</v>
      </c>
      <c r="CF63" s="99">
        <v>10.413233583489699</v>
      </c>
      <c r="CG63" s="99">
        <v>10.466313320825501</v>
      </c>
      <c r="CH63" s="99">
        <v>10.519393058161301</v>
      </c>
      <c r="CI63" s="99">
        <v>10.5724727954972</v>
      </c>
      <c r="CJ63" s="99">
        <v>10.625552532833</v>
      </c>
      <c r="CK63" s="99">
        <v>10.678632270168899</v>
      </c>
      <c r="CL63" s="99">
        <v>10.731712007504701</v>
      </c>
      <c r="CM63" s="99">
        <v>10.784791744840501</v>
      </c>
      <c r="CN63" s="99">
        <v>10.8378714821764</v>
      </c>
      <c r="CO63" s="99">
        <v>10.8909512195122</v>
      </c>
      <c r="CP63" s="99">
        <v>10.944030956848</v>
      </c>
      <c r="CQ63" s="99">
        <v>10.997110694183901</v>
      </c>
      <c r="CR63" s="99">
        <v>11.050190431519701</v>
      </c>
      <c r="CS63" s="99">
        <v>11.1032701688555</v>
      </c>
      <c r="CT63" s="99">
        <v>11.1563499061914</v>
      </c>
      <c r="CU63" s="99">
        <v>11.2094296435272</v>
      </c>
      <c r="CV63" s="99">
        <v>11.262509380862999</v>
      </c>
      <c r="CW63" s="99">
        <v>11.315589118198901</v>
      </c>
      <c r="CX63" s="99">
        <v>11.3686688555347</v>
      </c>
      <c r="CY63" s="99">
        <v>11.4217485928705</v>
      </c>
      <c r="CZ63" s="99">
        <v>11.4748283302064</v>
      </c>
      <c r="DA63" s="99">
        <v>11.527908067542199</v>
      </c>
      <c r="DB63" s="99">
        <v>11.580987804877999</v>
      </c>
      <c r="DC63" s="99">
        <v>11.6340675422139</v>
      </c>
      <c r="DD63" s="99">
        <v>11.6871472795497</v>
      </c>
      <c r="DE63" s="99">
        <v>11.7402270168855</v>
      </c>
      <c r="DF63" s="99">
        <v>11.793306754221399</v>
      </c>
      <c r="DG63" s="99">
        <v>11.846386491557199</v>
      </c>
      <c r="DH63" s="99">
        <v>11.8994662288931</v>
      </c>
      <c r="DI63" s="99">
        <v>11.9525459662289</v>
      </c>
      <c r="DJ63" s="99">
        <v>12.0056257035647</v>
      </c>
      <c r="DK63" s="99">
        <v>12.058705440900599</v>
      </c>
      <c r="DL63" s="99">
        <v>12.111785178236399</v>
      </c>
      <c r="DM63" s="99">
        <v>12.164864915572201</v>
      </c>
      <c r="DN63" s="99">
        <v>12.2179446529081</v>
      </c>
      <c r="DO63" s="99">
        <v>12.2710243902439</v>
      </c>
      <c r="DP63" s="99">
        <v>12.3241041275797</v>
      </c>
      <c r="DQ63" s="99">
        <v>12.377183864915599</v>
      </c>
      <c r="DR63" s="99">
        <v>12.430263602251401</v>
      </c>
      <c r="DS63" s="99">
        <v>12.483343339587201</v>
      </c>
      <c r="DT63" s="99">
        <v>12.5364230769231</v>
      </c>
      <c r="DU63" s="99">
        <v>12.5895028142589</v>
      </c>
      <c r="DV63" s="99">
        <v>12.6425825515947</v>
      </c>
      <c r="DW63" s="99">
        <v>12.695662288930601</v>
      </c>
      <c r="DX63" s="99">
        <v>12.748742026266401</v>
      </c>
      <c r="DY63" s="99">
        <v>12.8018217636022</v>
      </c>
      <c r="DZ63" s="99">
        <v>12.8549015009381</v>
      </c>
      <c r="EA63" s="99">
        <v>12.9079812382739</v>
      </c>
      <c r="EB63" s="99">
        <v>12.961060975609801</v>
      </c>
      <c r="EC63" s="99">
        <v>13.014140712945601</v>
      </c>
      <c r="ED63" s="99">
        <v>13.0672204502814</v>
      </c>
      <c r="EE63" s="99">
        <v>13.1203001876173</v>
      </c>
      <c r="EF63" s="99">
        <v>13.1733799249531</v>
      </c>
      <c r="EG63" s="99">
        <v>13.226459662288899</v>
      </c>
      <c r="EH63" s="99">
        <v>13.279539399624801</v>
      </c>
      <c r="EI63" s="99">
        <v>13.3326191369606</v>
      </c>
      <c r="EJ63" s="99">
        <v>13.3856988742964</v>
      </c>
      <c r="EK63" s="99">
        <v>13.4387786116323</v>
      </c>
      <c r="EL63" s="99">
        <v>13.491858348968099</v>
      </c>
      <c r="EM63" s="99">
        <v>13.544938086303899</v>
      </c>
      <c r="EN63" s="99">
        <v>13.5980178236398</v>
      </c>
      <c r="EO63" s="99">
        <v>13.6510975609756</v>
      </c>
      <c r="EP63" s="99">
        <v>13.7041772983114</v>
      </c>
      <c r="EQ63" s="99">
        <v>13.757257035647299</v>
      </c>
      <c r="ER63" s="99">
        <v>13.810336772983099</v>
      </c>
      <c r="ES63" s="99">
        <v>13.863416510318901</v>
      </c>
      <c r="ET63" s="99">
        <v>13.9164962476548</v>
      </c>
      <c r="EU63" s="99">
        <v>13.9695759849906</v>
      </c>
      <c r="EV63" s="99">
        <v>14.022655722326499</v>
      </c>
      <c r="EW63" s="99">
        <v>14.075735459662299</v>
      </c>
      <c r="EX63" s="99">
        <v>14.128815196998101</v>
      </c>
      <c r="EY63" s="99">
        <v>14.181894934334</v>
      </c>
      <c r="EZ63" s="99">
        <v>14.2349746716698</v>
      </c>
      <c r="FA63" s="99">
        <v>14.2880544090056</v>
      </c>
      <c r="FB63" s="99">
        <v>14.341134146341499</v>
      </c>
      <c r="FC63" s="99">
        <v>14.394213883677301</v>
      </c>
      <c r="FD63" s="99">
        <v>14.447293621013101</v>
      </c>
      <c r="FE63" s="99">
        <v>14.500373358349</v>
      </c>
      <c r="FF63" s="99">
        <v>14.5534530956848</v>
      </c>
      <c r="FG63" s="99">
        <v>14.6065328330206</v>
      </c>
      <c r="FH63" s="99">
        <v>14.659612570356501</v>
      </c>
      <c r="FI63" s="99">
        <v>14.712692307692301</v>
      </c>
      <c r="FJ63" s="99">
        <v>14.7657720450281</v>
      </c>
      <c r="FK63" s="99">
        <v>14.818851782364</v>
      </c>
      <c r="FL63" s="99">
        <v>14.8719315196998</v>
      </c>
      <c r="FM63" s="99">
        <v>14.925011257035599</v>
      </c>
      <c r="FN63" s="99">
        <v>14.978090994371501</v>
      </c>
      <c r="FO63" s="99">
        <v>15.0311707317073</v>
      </c>
      <c r="FP63" s="99">
        <v>15.0842504690431</v>
      </c>
      <c r="FQ63" s="99">
        <v>15.137330206379</v>
      </c>
      <c r="FR63" s="99">
        <v>15.190409943714799</v>
      </c>
      <c r="FS63" s="99">
        <v>15.243489681050701</v>
      </c>
      <c r="FT63" s="99">
        <v>15.2965694183865</v>
      </c>
      <c r="FU63" s="99">
        <v>15.3496491557223</v>
      </c>
      <c r="FV63" s="99">
        <v>15.4027288930582</v>
      </c>
      <c r="FW63" s="99">
        <v>15.455808630393999</v>
      </c>
      <c r="FX63" s="99">
        <v>15.508888367729799</v>
      </c>
      <c r="FY63" s="99">
        <v>15.5619681050657</v>
      </c>
      <c r="FZ63" s="99">
        <v>15.6150478424015</v>
      </c>
      <c r="GA63" s="99">
        <v>15.6681275797373</v>
      </c>
      <c r="GB63" s="99">
        <v>15.721207317073199</v>
      </c>
      <c r="GC63" s="99">
        <v>15.774287054408999</v>
      </c>
      <c r="GD63" s="99">
        <v>15.827366791744801</v>
      </c>
      <c r="GE63" s="99">
        <v>15.8804465290807</v>
      </c>
      <c r="GF63" s="99">
        <v>15.9335262664165</v>
      </c>
      <c r="GG63" s="99">
        <v>15.9866060037523</v>
      </c>
      <c r="GH63" s="99">
        <v>16.039685741088199</v>
      </c>
      <c r="GI63" s="99">
        <v>16.092765478423999</v>
      </c>
      <c r="GJ63" s="99">
        <v>16.145845215759799</v>
      </c>
      <c r="GK63" s="99">
        <v>16.198924953095698</v>
      </c>
      <c r="GL63" s="99">
        <v>16.252004690431502</v>
      </c>
      <c r="GM63" s="99">
        <v>16.305084427767301</v>
      </c>
      <c r="GN63" s="99">
        <v>16.358164165103201</v>
      </c>
      <c r="GO63" s="99">
        <v>16.411243902439001</v>
      </c>
      <c r="GP63" s="99">
        <v>16.464323639774801</v>
      </c>
      <c r="GQ63" s="99">
        <v>16.5174033771107</v>
      </c>
      <c r="GR63" s="99">
        <v>16.5704831144465</v>
      </c>
      <c r="GS63" s="99">
        <v>16.6235628517823</v>
      </c>
      <c r="GT63" s="99">
        <v>16.676642589118199</v>
      </c>
      <c r="GU63" s="99">
        <v>16.729722326453999</v>
      </c>
      <c r="GV63" s="99">
        <v>16.782802063789799</v>
      </c>
      <c r="GW63" s="99">
        <v>16.835881801125701</v>
      </c>
      <c r="GX63" s="99">
        <v>16.888961538461501</v>
      </c>
      <c r="GY63" s="99">
        <v>16.942041275797401</v>
      </c>
      <c r="GZ63" s="99">
        <v>16.9951210131332</v>
      </c>
      <c r="HA63" s="99">
        <v>17.048200750469</v>
      </c>
      <c r="HB63" s="99">
        <v>17.1012804878049</v>
      </c>
      <c r="HC63" s="99">
        <v>17.154360225140699</v>
      </c>
      <c r="HD63" s="99">
        <v>17.207439962476499</v>
      </c>
      <c r="HE63" s="99">
        <v>17.260519699812399</v>
      </c>
      <c r="HF63" s="99">
        <v>17.313599437148198</v>
      </c>
      <c r="HG63" s="99">
        <v>17.366679174483998</v>
      </c>
      <c r="HH63" s="99">
        <v>17.419758911819901</v>
      </c>
      <c r="HI63" s="99">
        <v>17.472838649155701</v>
      </c>
      <c r="HJ63" s="99">
        <v>17.525918386491501</v>
      </c>
      <c r="HK63" s="99">
        <v>17.5789981238274</v>
      </c>
      <c r="HL63" s="99">
        <v>17.6320778611632</v>
      </c>
      <c r="HM63" s="99">
        <v>17.685157598499</v>
      </c>
      <c r="HN63" s="99">
        <v>17.738237335834899</v>
      </c>
      <c r="HO63" s="99">
        <v>17.791317073170699</v>
      </c>
      <c r="HP63" s="99">
        <v>17.844396810506499</v>
      </c>
      <c r="HQ63" s="99">
        <v>17.897476547842398</v>
      </c>
      <c r="HR63" s="99">
        <v>17.950556285178202</v>
      </c>
      <c r="HS63" s="99">
        <v>18.003636022514101</v>
      </c>
      <c r="HT63" s="99">
        <v>18.056715759849901</v>
      </c>
      <c r="HU63" s="99">
        <v>18.109795497185701</v>
      </c>
      <c r="HV63" s="99">
        <v>18.1628752345216</v>
      </c>
      <c r="HW63" s="99">
        <v>18.2159549718574</v>
      </c>
      <c r="HX63" s="99">
        <v>18.2690347091932</v>
      </c>
      <c r="HY63" s="99">
        <v>18.322114446529099</v>
      </c>
      <c r="HZ63" s="99">
        <v>18.375194183864899</v>
      </c>
      <c r="IA63" s="99">
        <v>18.428273921200699</v>
      </c>
      <c r="IB63" s="99">
        <v>18.481353658536602</v>
      </c>
      <c r="IC63" s="99">
        <v>18.534433395872401</v>
      </c>
      <c r="ID63" s="99">
        <v>18.587513133208201</v>
      </c>
      <c r="IE63" s="99">
        <v>18.640592870544101</v>
      </c>
      <c r="IF63" s="99">
        <v>18.6936726078799</v>
      </c>
      <c r="IG63" s="99">
        <v>18.7467523452157</v>
      </c>
      <c r="IH63" s="99">
        <v>18.7998320825516</v>
      </c>
      <c r="II63" s="99">
        <v>18.8529118198874</v>
      </c>
      <c r="IJ63" s="99">
        <v>18.905991557223199</v>
      </c>
      <c r="IK63" s="99">
        <v>18.959071294559099</v>
      </c>
      <c r="IL63" s="99">
        <v>19.012151031894899</v>
      </c>
      <c r="IM63" s="99">
        <v>19.065230769230801</v>
      </c>
      <c r="IN63" s="99">
        <v>19.118310506566601</v>
      </c>
      <c r="IO63" s="99">
        <v>19.171390243902401</v>
      </c>
      <c r="IP63" s="99">
        <v>19.2244699812383</v>
      </c>
      <c r="IQ63" s="99">
        <v>19.2775497185741</v>
      </c>
      <c r="IR63" s="99">
        <v>19.3306294559099</v>
      </c>
      <c r="IS63" s="99">
        <v>19.383709193245799</v>
      </c>
      <c r="IT63" s="99">
        <v>19.436788930581599</v>
      </c>
      <c r="IU63" s="99">
        <v>19.489868667917399</v>
      </c>
      <c r="IV63" s="99">
        <v>19.542948405253298</v>
      </c>
      <c r="IW63" s="99">
        <v>19.596028142589098</v>
      </c>
      <c r="IX63" s="99">
        <v>19.649107879924902</v>
      </c>
      <c r="IY63" s="99">
        <v>19.702187617260801</v>
      </c>
      <c r="IZ63" s="99">
        <v>19.755267354596601</v>
      </c>
      <c r="JA63" s="99">
        <v>19.808347091932401</v>
      </c>
      <c r="JB63" s="99">
        <v>19.8614268292683</v>
      </c>
      <c r="JC63" s="99">
        <v>19.9145065666041</v>
      </c>
      <c r="JD63" s="99">
        <v>19.9675863039399</v>
      </c>
      <c r="JE63" s="99">
        <v>20.020666041275799</v>
      </c>
      <c r="JF63" s="99">
        <v>20.073745778611599</v>
      </c>
      <c r="JG63" s="99">
        <v>20.126825515947498</v>
      </c>
      <c r="JH63" s="99">
        <v>20.179905253283302</v>
      </c>
      <c r="JI63" s="99">
        <v>20.232984990619101</v>
      </c>
      <c r="JJ63" s="99">
        <v>20.286064727955001</v>
      </c>
      <c r="JK63" s="99">
        <v>20.339144465290801</v>
      </c>
      <c r="JL63" s="99">
        <v>20.392224202626601</v>
      </c>
      <c r="JM63" s="99">
        <v>20.4453039399625</v>
      </c>
      <c r="JN63" s="99">
        <v>20.4983836772983</v>
      </c>
      <c r="JO63" s="99">
        <v>20.5514634146341</v>
      </c>
      <c r="JP63" s="99">
        <v>20.604543151969999</v>
      </c>
      <c r="JQ63" s="99">
        <v>20.657622889305799</v>
      </c>
      <c r="JR63" s="99">
        <v>20.710702626641599</v>
      </c>
      <c r="JS63" s="99">
        <v>20.763782363977501</v>
      </c>
      <c r="JT63" s="99">
        <v>20.816862101313301</v>
      </c>
      <c r="JU63" s="99">
        <v>20.869941838649101</v>
      </c>
      <c r="JV63" s="99">
        <v>20.923021575985</v>
      </c>
      <c r="JW63" s="99">
        <v>20.9761013133208</v>
      </c>
      <c r="JX63" s="99">
        <v>21.0291810506566</v>
      </c>
      <c r="JY63" s="99">
        <v>21.082260787992499</v>
      </c>
      <c r="JZ63" s="99">
        <v>21.135340525328299</v>
      </c>
      <c r="KA63" s="99">
        <v>21.188420262664099</v>
      </c>
      <c r="KB63" s="99">
        <v>21.241499999999998</v>
      </c>
      <c r="KC63" s="99">
        <v>21.294579737335798</v>
      </c>
      <c r="KD63" s="99">
        <v>21.347659474671701</v>
      </c>
      <c r="KE63" s="99">
        <v>21.400739212007501</v>
      </c>
      <c r="KF63" s="99">
        <v>21.453818949343301</v>
      </c>
      <c r="KG63" s="99">
        <v>21.5068986866792</v>
      </c>
      <c r="KH63" s="99">
        <v>21.559978424015</v>
      </c>
      <c r="KI63" s="99">
        <v>21.6130581613508</v>
      </c>
      <c r="KJ63" s="99">
        <v>21.666137898686699</v>
      </c>
      <c r="KK63" s="99">
        <v>21.719217636022499</v>
      </c>
      <c r="KL63" s="99">
        <v>21.772297373358299</v>
      </c>
      <c r="KM63" s="99">
        <v>21.825377110694198</v>
      </c>
      <c r="KN63" s="99">
        <v>21.878456848030002</v>
      </c>
      <c r="KO63" s="99">
        <v>21.931536585365802</v>
      </c>
      <c r="KP63" s="99">
        <v>21.984616322701701</v>
      </c>
      <c r="KQ63" s="99">
        <v>22.037696060037501</v>
      </c>
      <c r="KR63" s="99">
        <v>22.090775797373301</v>
      </c>
      <c r="KS63" s="99">
        <v>22.1438555347092</v>
      </c>
      <c r="KT63" s="99">
        <v>22.196935272045</v>
      </c>
      <c r="KU63" s="99">
        <v>22.2500150093808</v>
      </c>
      <c r="KV63" s="99">
        <v>22.303094746716699</v>
      </c>
      <c r="KW63" s="99">
        <v>22.356174484052499</v>
      </c>
      <c r="KX63" s="99">
        <v>22.409254221388299</v>
      </c>
      <c r="KY63" s="99">
        <v>22.462333958724201</v>
      </c>
      <c r="KZ63" s="99">
        <v>22.515413696060001</v>
      </c>
      <c r="LA63" s="99">
        <v>22.568493433395901</v>
      </c>
      <c r="LB63" s="99">
        <v>22.6215731707317</v>
      </c>
      <c r="LC63" s="99">
        <v>22.6746529080675</v>
      </c>
      <c r="LD63" s="99">
        <v>22.7277326454034</v>
      </c>
      <c r="LE63" s="99">
        <v>22.7808123827392</v>
      </c>
      <c r="LF63" s="99">
        <v>22.833892120074999</v>
      </c>
      <c r="LG63" s="99">
        <v>22.886971857410899</v>
      </c>
      <c r="LH63" s="99">
        <v>22.940051594746699</v>
      </c>
      <c r="LI63" s="99">
        <v>22.993131332082498</v>
      </c>
      <c r="LJ63" s="99">
        <v>23.046211069418401</v>
      </c>
      <c r="LK63" s="99">
        <v>23.099290806754201</v>
      </c>
      <c r="LL63" s="99">
        <v>23.152370544090001</v>
      </c>
      <c r="LM63" s="99">
        <v>23.2054502814259</v>
      </c>
      <c r="LN63" s="99">
        <v>23.2585300187617</v>
      </c>
      <c r="LO63" s="99">
        <v>23.3116097560975</v>
      </c>
      <c r="LP63" s="99">
        <v>23.364689493433399</v>
      </c>
      <c r="LQ63" s="99">
        <v>23.417769230769199</v>
      </c>
      <c r="LR63" s="99">
        <v>23.470848968104999</v>
      </c>
      <c r="LS63" s="99">
        <v>23.523928705440898</v>
      </c>
      <c r="LT63" s="99">
        <v>23.577008442776702</v>
      </c>
      <c r="LU63" s="99">
        <v>23.630088180112601</v>
      </c>
      <c r="LV63" s="99">
        <v>23.683167917448401</v>
      </c>
      <c r="LW63" s="99">
        <v>23.736247654784201</v>
      </c>
      <c r="LX63" s="99">
        <v>23.7893273921201</v>
      </c>
      <c r="LY63" s="99">
        <v>23.8424071294559</v>
      </c>
      <c r="LZ63" s="99">
        <v>23.8954868667917</v>
      </c>
      <c r="MA63" s="99">
        <v>23.948566604127599</v>
      </c>
      <c r="MB63" s="99">
        <v>24.001646341463399</v>
      </c>
      <c r="MC63" s="99">
        <v>24.054726078799199</v>
      </c>
      <c r="MD63" s="99">
        <v>24.107805816135102</v>
      </c>
      <c r="ME63" s="99">
        <v>24.160885553470901</v>
      </c>
      <c r="MF63" s="99">
        <v>24.213965290806701</v>
      </c>
      <c r="MG63" s="99">
        <v>24.267045028142601</v>
      </c>
      <c r="MH63" s="99">
        <v>24.320124765478401</v>
      </c>
      <c r="MI63" s="99">
        <v>24.3732045028142</v>
      </c>
      <c r="MJ63" s="99">
        <v>24.4262842401501</v>
      </c>
      <c r="MK63" s="99">
        <v>24.4793639774859</v>
      </c>
      <c r="ML63" s="99">
        <v>24.532443714821699</v>
      </c>
      <c r="MM63" s="99">
        <v>24.585523452157599</v>
      </c>
      <c r="MN63" s="99">
        <v>24.638603189493399</v>
      </c>
      <c r="MO63" s="99">
        <v>24.691682926829198</v>
      </c>
      <c r="MP63" s="99">
        <v>24.744762664165101</v>
      </c>
      <c r="MQ63" s="99">
        <v>24.797842401500901</v>
      </c>
      <c r="MR63" s="99">
        <v>24.8509221388368</v>
      </c>
      <c r="MS63" s="99">
        <v>24.9040018761726</v>
      </c>
      <c r="MT63" s="99">
        <v>24.9570816135084</v>
      </c>
      <c r="MU63" s="99">
        <v>25.010161350844299</v>
      </c>
      <c r="MV63" s="99">
        <v>25.063241088180099</v>
      </c>
      <c r="MW63" s="99">
        <v>25.116320825515899</v>
      </c>
      <c r="MX63" s="99">
        <v>25.169400562851798</v>
      </c>
      <c r="MY63" s="99">
        <v>25.222480300187598</v>
      </c>
      <c r="MZ63" s="99">
        <v>25.275560037523402</v>
      </c>
      <c r="NA63" s="99">
        <v>25.328639774859301</v>
      </c>
      <c r="NB63" s="99">
        <v>25.381719512195101</v>
      </c>
      <c r="NC63" s="99">
        <v>25.434799249530901</v>
      </c>
      <c r="ND63" s="99">
        <v>25.4878789868668</v>
      </c>
      <c r="NE63" s="99">
        <v>25.5409587242026</v>
      </c>
      <c r="NF63" s="99">
        <v>25.5940384615384</v>
      </c>
      <c r="NG63" s="99">
        <v>25.647118198874299</v>
      </c>
      <c r="NH63" s="99">
        <v>25.700197936210099</v>
      </c>
      <c r="NI63" s="99">
        <v>25.753277673545998</v>
      </c>
      <c r="NJ63" s="99">
        <v>25.806357410881802</v>
      </c>
      <c r="NK63" s="99">
        <v>25.859437148217602</v>
      </c>
      <c r="NL63" s="99">
        <v>25.912516885553501</v>
      </c>
      <c r="NM63" s="99">
        <v>25.965596622889301</v>
      </c>
      <c r="NN63" s="99">
        <v>26.018676360225101</v>
      </c>
      <c r="NO63" s="99">
        <v>26.071756097561</v>
      </c>
      <c r="NP63" s="99">
        <v>26.1248358348968</v>
      </c>
      <c r="NQ63" s="99">
        <v>26.1779155722326</v>
      </c>
      <c r="NR63" s="99">
        <v>26.230995309568499</v>
      </c>
      <c r="NS63" s="99">
        <v>26.284075046904299</v>
      </c>
      <c r="NT63" s="99">
        <v>26.337154784240099</v>
      </c>
      <c r="NU63" s="99">
        <v>26.390234521576001</v>
      </c>
      <c r="NV63" s="99">
        <v>26.443314258911801</v>
      </c>
      <c r="NW63" s="99">
        <v>26.496393996247601</v>
      </c>
      <c r="NX63" s="99">
        <v>26.5494737335835</v>
      </c>
      <c r="NY63" s="99">
        <v>26.6025534709193</v>
      </c>
      <c r="NZ63" s="99">
        <v>26.6556332082551</v>
      </c>
      <c r="OA63" s="99">
        <v>26.708712945591</v>
      </c>
      <c r="OB63" s="99">
        <v>26.761792682926799</v>
      </c>
      <c r="OC63" s="99">
        <v>26.814872420262599</v>
      </c>
      <c r="OD63" s="99">
        <v>26.867952157598499</v>
      </c>
      <c r="OE63" s="99">
        <v>26.921031894934298</v>
      </c>
      <c r="OF63" s="99">
        <v>26.974111632270201</v>
      </c>
      <c r="OG63" s="99">
        <v>27.027191369606001</v>
      </c>
      <c r="OH63" s="99">
        <v>27.080271106941801</v>
      </c>
      <c r="OI63" s="99">
        <v>27.1333508442777</v>
      </c>
      <c r="OJ63" s="99">
        <v>27.1864305816135</v>
      </c>
      <c r="OK63" s="99">
        <v>27.2395103189493</v>
      </c>
      <c r="OL63" s="99">
        <v>27.292590056285199</v>
      </c>
      <c r="OM63" s="99">
        <v>27.345669793620999</v>
      </c>
      <c r="ON63" s="99">
        <v>27.398749530956799</v>
      </c>
      <c r="OO63" s="99">
        <v>27.451829268292698</v>
      </c>
      <c r="OP63" s="99">
        <v>27.504909005628502</v>
      </c>
      <c r="OQ63" s="99">
        <v>27.557988742964302</v>
      </c>
      <c r="OR63" s="99">
        <v>27.611068480300201</v>
      </c>
      <c r="OS63" s="99">
        <v>27.664148217636001</v>
      </c>
      <c r="OT63" s="99">
        <v>27.717227954971801</v>
      </c>
      <c r="OU63" s="99">
        <v>27.7703076923077</v>
      </c>
      <c r="OV63" s="99">
        <v>27.8233874296435</v>
      </c>
      <c r="OW63" s="99">
        <v>27.8764671669793</v>
      </c>
      <c r="OX63" s="99">
        <v>27.929546904315199</v>
      </c>
      <c r="OY63" s="99">
        <v>27.982626641650999</v>
      </c>
      <c r="OZ63" s="99">
        <v>28.035706378986799</v>
      </c>
      <c r="PA63" s="99">
        <v>28.088786116322702</v>
      </c>
      <c r="PB63" s="99">
        <v>28.141865853658501</v>
      </c>
      <c r="PC63" s="99">
        <v>28.194945590994401</v>
      </c>
      <c r="PD63" s="99">
        <v>28.248025328330201</v>
      </c>
      <c r="PE63" s="99">
        <v>28.301105065666</v>
      </c>
      <c r="PF63" s="99">
        <v>28.3541848030019</v>
      </c>
      <c r="PG63" s="99">
        <v>28.4072645403377</v>
      </c>
      <c r="PH63" s="99">
        <v>28.460344277673499</v>
      </c>
      <c r="PI63" s="99">
        <v>28.513424015009399</v>
      </c>
      <c r="PJ63" s="99">
        <v>28.566503752345199</v>
      </c>
      <c r="PK63" s="99">
        <v>28.619583489680998</v>
      </c>
      <c r="PL63" s="99">
        <v>28.672663227016901</v>
      </c>
      <c r="PM63" s="99">
        <v>28.725742964352701</v>
      </c>
      <c r="PN63" s="99">
        <v>28.778822701688501</v>
      </c>
      <c r="PO63" s="99">
        <v>28.8319024390244</v>
      </c>
      <c r="PP63" s="99">
        <v>28.8849821763602</v>
      </c>
      <c r="PQ63" s="99">
        <v>28.938061913696</v>
      </c>
      <c r="PR63" s="99">
        <v>28.991141651031899</v>
      </c>
      <c r="PS63" s="99">
        <v>29.044221388367699</v>
      </c>
      <c r="PT63" s="99">
        <v>29.097301125703499</v>
      </c>
      <c r="PU63" s="99">
        <v>29.150380863039398</v>
      </c>
      <c r="PV63" s="99">
        <v>29.203460600375202</v>
      </c>
      <c r="PW63" s="99">
        <v>29.256540337711101</v>
      </c>
      <c r="PX63" s="99">
        <v>29.309620075046901</v>
      </c>
      <c r="PY63" s="99">
        <v>29.362699812382701</v>
      </c>
      <c r="PZ63" s="99">
        <v>29.4157795497186</v>
      </c>
      <c r="QA63" s="99">
        <v>29.4688592870544</v>
      </c>
      <c r="QB63" s="99">
        <v>29.5219390243902</v>
      </c>
      <c r="QC63" s="99">
        <v>29.575018761726099</v>
      </c>
      <c r="QD63" s="99">
        <v>29.628098499061899</v>
      </c>
      <c r="QE63" s="99">
        <v>29.681178236397699</v>
      </c>
      <c r="QF63" s="99">
        <v>29.734257973733602</v>
      </c>
      <c r="QG63" s="99">
        <v>29.787337711069402</v>
      </c>
      <c r="QH63" s="99">
        <v>29.840417448405201</v>
      </c>
      <c r="QI63" s="99">
        <v>29.893497185741101</v>
      </c>
      <c r="QJ63" s="99">
        <v>29.946576923076901</v>
      </c>
      <c r="QK63" s="99">
        <v>29.9996566604127</v>
      </c>
      <c r="QL63" s="99">
        <v>30.0527363977486</v>
      </c>
      <c r="QM63" s="99">
        <v>30.1058161350844</v>
      </c>
      <c r="QN63" s="99">
        <v>30.158895872420199</v>
      </c>
      <c r="QO63" s="99">
        <v>30.211975609756099</v>
      </c>
      <c r="QP63" s="99">
        <v>30.265055347091899</v>
      </c>
      <c r="QQ63" s="99">
        <v>30.318135084427698</v>
      </c>
      <c r="QR63" s="99">
        <v>30.371214821763601</v>
      </c>
      <c r="QS63" s="99">
        <v>30.424294559099401</v>
      </c>
      <c r="QT63" s="99">
        <v>30.4773742964353</v>
      </c>
      <c r="QU63" s="99">
        <v>30.5304540337711</v>
      </c>
      <c r="QV63" s="99">
        <v>30.5835337711069</v>
      </c>
      <c r="QW63" s="99">
        <v>30.6366135084428</v>
      </c>
      <c r="QX63" s="99">
        <v>30.689693245778599</v>
      </c>
      <c r="QY63" s="99">
        <v>30.742772983114399</v>
      </c>
      <c r="QZ63" s="99">
        <v>30.795852720450299</v>
      </c>
      <c r="RA63" s="99">
        <v>30.848932457786098</v>
      </c>
      <c r="RB63" s="99">
        <v>30.902012195121898</v>
      </c>
      <c r="RC63" s="99">
        <v>30.955091932457801</v>
      </c>
      <c r="RD63" s="99">
        <v>31.008171669793601</v>
      </c>
      <c r="RE63" s="99">
        <v>31.061251407129401</v>
      </c>
      <c r="RF63" s="99">
        <v>31.1143311444653</v>
      </c>
      <c r="RG63" s="99">
        <v>31.1674108818011</v>
      </c>
      <c r="RH63" s="99">
        <v>31.2204906191369</v>
      </c>
      <c r="RI63" s="99">
        <v>31.273570356472799</v>
      </c>
      <c r="RJ63" s="99">
        <v>31.326650093808599</v>
      </c>
      <c r="RK63" s="99">
        <v>31.379729831144498</v>
      </c>
      <c r="RL63" s="99">
        <v>31.432809568480302</v>
      </c>
      <c r="RM63" s="99">
        <v>31.485889305816102</v>
      </c>
      <c r="RN63" s="99">
        <v>31.538969043152001</v>
      </c>
      <c r="RO63" s="99">
        <v>31.592048780487801</v>
      </c>
      <c r="RP63" s="99">
        <v>31.645128517823601</v>
      </c>
      <c r="RQ63" s="99">
        <v>31.6982082551595</v>
      </c>
      <c r="RR63" s="99">
        <v>31.7512879924953</v>
      </c>
      <c r="RS63" s="99">
        <v>31.8043677298311</v>
      </c>
      <c r="RT63" s="99">
        <v>31.857447467166999</v>
      </c>
      <c r="RU63" s="99">
        <v>31.910527204502799</v>
      </c>
      <c r="RV63" s="99">
        <v>31.963606941838599</v>
      </c>
      <c r="RW63" s="99">
        <v>32.016686679174498</v>
      </c>
      <c r="RX63" s="99">
        <v>32.069766416510298</v>
      </c>
      <c r="RY63" s="99">
        <v>32.122846153846098</v>
      </c>
      <c r="RZ63" s="99">
        <v>32.175925891181997</v>
      </c>
      <c r="SA63" s="99">
        <v>32.229005628517797</v>
      </c>
      <c r="SB63" s="99">
        <v>32.282085365853597</v>
      </c>
      <c r="SC63" s="99">
        <v>32.335165103189503</v>
      </c>
      <c r="SD63" s="99">
        <v>32.388244840525303</v>
      </c>
      <c r="SE63" s="99">
        <v>32.441324577861103</v>
      </c>
      <c r="SF63" s="99">
        <v>32.494404315197002</v>
      </c>
      <c r="SG63" s="99">
        <v>32.547484052532802</v>
      </c>
      <c r="SH63" s="99">
        <v>32.600563789868701</v>
      </c>
      <c r="SI63" s="99">
        <v>32.653643527204501</v>
      </c>
      <c r="SJ63" s="99">
        <v>32.706723264540301</v>
      </c>
      <c r="SK63" s="99">
        <v>32.7598030018762</v>
      </c>
      <c r="SL63" s="99">
        <v>32.812882739212</v>
      </c>
      <c r="SM63" s="99">
        <v>32.8659624765478</v>
      </c>
      <c r="SN63" s="99">
        <v>32.919042213883699</v>
      </c>
      <c r="SO63" s="99">
        <v>32.972121951219499</v>
      </c>
      <c r="SP63" s="99">
        <v>33.025201688555299</v>
      </c>
      <c r="SQ63" s="99">
        <v>33.078281425891198</v>
      </c>
      <c r="SR63" s="99">
        <v>33.131361163226998</v>
      </c>
      <c r="SS63" s="99">
        <v>33.184440900562798</v>
      </c>
      <c r="ST63" s="99">
        <v>33.237520637898697</v>
      </c>
      <c r="SU63" s="99">
        <v>33.290600375234497</v>
      </c>
      <c r="SV63" s="99">
        <v>33.343680112570297</v>
      </c>
      <c r="SW63" s="99">
        <v>33.396759849906203</v>
      </c>
      <c r="SX63" s="99">
        <v>33.449839587242003</v>
      </c>
      <c r="SY63" s="99">
        <v>33.502919324577803</v>
      </c>
      <c r="SZ63" s="99">
        <v>33.555999061913703</v>
      </c>
      <c r="TA63" s="99">
        <v>33.609078799249502</v>
      </c>
      <c r="TB63" s="99">
        <v>33.662158536585302</v>
      </c>
      <c r="TC63" s="99">
        <v>33.715238273921202</v>
      </c>
      <c r="TD63" s="99">
        <v>33.768318011257001</v>
      </c>
      <c r="TE63" s="99">
        <v>33.821397748592901</v>
      </c>
      <c r="TF63" s="99">
        <v>33.874477485928701</v>
      </c>
      <c r="TG63" s="99">
        <v>33.9275572232645</v>
      </c>
      <c r="TH63" s="99">
        <v>33.9806369606004</v>
      </c>
      <c r="TI63" s="99">
        <v>34.0337166979362</v>
      </c>
      <c r="TJ63" s="99">
        <v>34.086796435271999</v>
      </c>
      <c r="TK63" s="99">
        <v>34.139876172607899</v>
      </c>
      <c r="TL63" s="99">
        <v>34.192955909943699</v>
      </c>
      <c r="TM63" s="99">
        <v>34.246035647279498</v>
      </c>
      <c r="TN63" s="99">
        <v>34.299115384615398</v>
      </c>
      <c r="TO63" s="99">
        <v>34.352195121951198</v>
      </c>
      <c r="TP63" s="99">
        <v>34.405274859286997</v>
      </c>
      <c r="TQ63" s="99">
        <v>34.458354596622897</v>
      </c>
      <c r="TR63" s="99">
        <v>34.511434333958697</v>
      </c>
      <c r="TS63" s="99">
        <v>34.564514071294496</v>
      </c>
      <c r="TT63" s="99">
        <v>34.617593808630403</v>
      </c>
      <c r="TU63" s="99">
        <v>34.670673545966203</v>
      </c>
      <c r="TV63" s="99">
        <v>34.723753283302003</v>
      </c>
      <c r="TW63" s="99">
        <v>34.776833020637902</v>
      </c>
      <c r="TX63" s="99">
        <v>34.829912757973702</v>
      </c>
      <c r="TY63" s="99">
        <v>34.882992495309601</v>
      </c>
      <c r="TZ63" s="99">
        <v>34.936072232645401</v>
      </c>
      <c r="UA63" s="99">
        <v>34.989151969981201</v>
      </c>
      <c r="UB63" s="99">
        <v>35.0422317073171</v>
      </c>
      <c r="UC63" s="99">
        <v>35.0953114446529</v>
      </c>
      <c r="UD63" s="99">
        <v>35.1483911819887</v>
      </c>
      <c r="UE63" s="99">
        <v>35.201470919324599</v>
      </c>
      <c r="UF63" s="99">
        <v>35.254550656660399</v>
      </c>
      <c r="UG63" s="99">
        <v>35.307630393996199</v>
      </c>
      <c r="UH63" s="99">
        <v>35.360710131332098</v>
      </c>
      <c r="UI63" s="99">
        <v>35.413789868667898</v>
      </c>
      <c r="UJ63" s="99">
        <v>35.466869606003698</v>
      </c>
      <c r="UK63" s="99">
        <v>35.519949343339597</v>
      </c>
      <c r="UL63" s="99">
        <v>35.573029080675397</v>
      </c>
      <c r="UM63" s="99">
        <v>35.626108818011197</v>
      </c>
      <c r="UN63" s="99">
        <v>35.679188555347103</v>
      </c>
      <c r="UO63" s="99">
        <v>35.732268292682903</v>
      </c>
      <c r="UP63" s="99">
        <v>35.785348030018703</v>
      </c>
      <c r="UQ63" s="99">
        <v>35.838427767354602</v>
      </c>
      <c r="UR63" s="99">
        <v>35.891507504690402</v>
      </c>
      <c r="US63" s="99">
        <v>35.944587242026202</v>
      </c>
      <c r="UT63" s="99">
        <v>35.997666979362101</v>
      </c>
    </row>
    <row r="64" spans="1:566" x14ac:dyDescent="0.2">
      <c r="A64" s="89">
        <v>29</v>
      </c>
      <c r="B64" s="90">
        <v>6.01</v>
      </c>
      <c r="C64" s="90">
        <v>6.06</v>
      </c>
      <c r="D64" s="90">
        <v>6.11</v>
      </c>
      <c r="E64" s="90">
        <v>6.16</v>
      </c>
      <c r="F64" s="90">
        <v>6.22</v>
      </c>
      <c r="G64" s="90">
        <v>6.27</v>
      </c>
      <c r="H64" s="90">
        <v>6.32</v>
      </c>
      <c r="I64" s="90">
        <v>6.37</v>
      </c>
      <c r="J64" s="90">
        <v>6.43</v>
      </c>
      <c r="K64" s="90">
        <v>6.48</v>
      </c>
      <c r="L64" s="90">
        <v>6.53</v>
      </c>
      <c r="M64" s="90">
        <v>6.59</v>
      </c>
      <c r="N64" s="90">
        <v>6.64</v>
      </c>
      <c r="O64" s="90">
        <v>6.69</v>
      </c>
      <c r="P64" s="90">
        <v>6.74</v>
      </c>
      <c r="Q64" s="90">
        <v>6.8</v>
      </c>
      <c r="R64" s="90">
        <v>6.85</v>
      </c>
      <c r="S64" s="90">
        <v>6.9</v>
      </c>
      <c r="T64" s="90">
        <v>6.95</v>
      </c>
      <c r="U64" s="91">
        <v>7.01</v>
      </c>
      <c r="V64" s="90">
        <v>7.06</v>
      </c>
      <c r="W64" s="90">
        <v>7.11</v>
      </c>
      <c r="X64" s="90">
        <v>7.16</v>
      </c>
      <c r="Y64" s="90">
        <v>7.22</v>
      </c>
      <c r="Z64" s="90">
        <v>7.27</v>
      </c>
      <c r="AA64" s="90">
        <v>7.32</v>
      </c>
      <c r="AB64" s="90">
        <v>7.38</v>
      </c>
      <c r="AC64" s="90">
        <v>7.43</v>
      </c>
      <c r="AD64" s="90">
        <v>7.48</v>
      </c>
      <c r="AE64" s="90">
        <v>7.53</v>
      </c>
      <c r="AF64" s="90">
        <v>7.59</v>
      </c>
      <c r="AG64" s="90">
        <v>7.64</v>
      </c>
      <c r="AH64" s="90">
        <v>7.69</v>
      </c>
      <c r="AI64" s="90">
        <v>7.74</v>
      </c>
      <c r="AJ64" s="90">
        <v>7.8</v>
      </c>
      <c r="AK64" s="90">
        <v>7.85</v>
      </c>
      <c r="AL64" s="90">
        <v>7.9</v>
      </c>
      <c r="AM64" s="90">
        <v>7.95</v>
      </c>
      <c r="AN64" s="90">
        <v>8.01</v>
      </c>
      <c r="AO64" s="91">
        <v>8.06</v>
      </c>
      <c r="AP64" s="90">
        <v>8.1123846153846095</v>
      </c>
      <c r="AQ64" s="90">
        <v>8.1650375234521597</v>
      </c>
      <c r="AR64" s="90">
        <v>8.2176904315196992</v>
      </c>
      <c r="AS64" s="90">
        <v>8.2703433395872494</v>
      </c>
      <c r="AT64" s="90">
        <v>8.3229962476547907</v>
      </c>
      <c r="AU64" s="90">
        <v>8.3756491557223196</v>
      </c>
      <c r="AV64" s="90">
        <v>8.4283020637898591</v>
      </c>
      <c r="AW64" s="90">
        <v>8.4809549718574093</v>
      </c>
      <c r="AX64" s="90">
        <v>8.5336078799249595</v>
      </c>
      <c r="AY64" s="90">
        <v>8.5862607879925008</v>
      </c>
      <c r="AZ64" s="90">
        <v>8.6389136960600403</v>
      </c>
      <c r="BA64" s="90">
        <v>8.6915666041275799</v>
      </c>
      <c r="BB64" s="90">
        <v>8.7442195121951301</v>
      </c>
      <c r="BC64" s="90">
        <v>8.7968724202626696</v>
      </c>
      <c r="BD64" s="90">
        <v>8.8495253283302109</v>
      </c>
      <c r="BE64" s="90">
        <v>8.9021782363977504</v>
      </c>
      <c r="BF64" s="90">
        <v>8.9548311444653006</v>
      </c>
      <c r="BG64" s="90">
        <v>9.0074840525328295</v>
      </c>
      <c r="BH64" s="90">
        <v>9.0601369606003708</v>
      </c>
      <c r="BI64" s="91">
        <v>9.1127898686679192</v>
      </c>
      <c r="BJ64" s="90">
        <v>9.1654427767354694</v>
      </c>
      <c r="BK64" s="99">
        <v>9.2180956848030107</v>
      </c>
      <c r="BL64" s="99">
        <v>9.2707485928705395</v>
      </c>
      <c r="BM64" s="99">
        <v>9.3234015009380897</v>
      </c>
      <c r="BN64" s="99">
        <v>9.3760544090056293</v>
      </c>
      <c r="BO64" s="99">
        <v>9.4287073170731794</v>
      </c>
      <c r="BP64" s="99">
        <v>9.4813602251407207</v>
      </c>
      <c r="BQ64" s="99">
        <v>9.5340131332082496</v>
      </c>
      <c r="BR64" s="99">
        <v>9.5866660412757891</v>
      </c>
      <c r="BS64" s="99">
        <v>9.6393189493433393</v>
      </c>
      <c r="BT64" s="99">
        <v>9.6919718574108895</v>
      </c>
      <c r="BU64" s="99">
        <v>9.7446247654784308</v>
      </c>
      <c r="BV64" s="99">
        <v>9.7972776735459703</v>
      </c>
      <c r="BW64" s="99">
        <v>9.8499305816135099</v>
      </c>
      <c r="BX64" s="99">
        <v>9.9025834896810494</v>
      </c>
      <c r="BY64" s="99">
        <v>9.9552363977485996</v>
      </c>
      <c r="BZ64" s="99">
        <v>10.0078893058161</v>
      </c>
      <c r="CA64" s="99">
        <v>10.0605422138837</v>
      </c>
      <c r="CB64" s="99">
        <v>10.1131951219512</v>
      </c>
      <c r="CC64" s="99">
        <v>10.1658480300188</v>
      </c>
      <c r="CD64" s="99">
        <v>10.218500938086301</v>
      </c>
      <c r="CE64" s="99">
        <v>10.271153846153799</v>
      </c>
      <c r="CF64" s="99">
        <v>10.323806754221399</v>
      </c>
      <c r="CG64" s="99">
        <v>10.3764596622889</v>
      </c>
      <c r="CH64" s="99">
        <v>10.4291125703565</v>
      </c>
      <c r="CI64" s="99">
        <v>10.481765478424</v>
      </c>
      <c r="CJ64" s="99">
        <v>10.5344183864916</v>
      </c>
      <c r="CK64" s="99">
        <v>10.587071294559101</v>
      </c>
      <c r="CL64" s="99">
        <v>10.639724202626599</v>
      </c>
      <c r="CM64" s="99">
        <v>10.692377110694199</v>
      </c>
      <c r="CN64" s="99">
        <v>10.7450300187617</v>
      </c>
      <c r="CO64" s="99">
        <v>10.7976829268293</v>
      </c>
      <c r="CP64" s="99">
        <v>10.8503358348968</v>
      </c>
      <c r="CQ64" s="99">
        <v>10.9029887429644</v>
      </c>
      <c r="CR64" s="99">
        <v>10.9556416510319</v>
      </c>
      <c r="CS64" s="99">
        <v>11.008294559099401</v>
      </c>
      <c r="CT64" s="99">
        <v>11.060947467167001</v>
      </c>
      <c r="CU64" s="99">
        <v>11.113600375234499</v>
      </c>
      <c r="CV64" s="99">
        <v>11.166253283302099</v>
      </c>
      <c r="CW64" s="99">
        <v>11.2189061913696</v>
      </c>
      <c r="CX64" s="99">
        <v>11.2715590994371</v>
      </c>
      <c r="CY64" s="99">
        <v>11.3242120075047</v>
      </c>
      <c r="CZ64" s="99">
        <v>11.376864915572201</v>
      </c>
      <c r="DA64" s="99">
        <v>11.429517823639801</v>
      </c>
      <c r="DB64" s="99">
        <v>11.482170731707299</v>
      </c>
      <c r="DC64" s="99">
        <v>11.534823639774901</v>
      </c>
      <c r="DD64" s="99">
        <v>11.5874765478424</v>
      </c>
      <c r="DE64" s="99">
        <v>11.6401294559099</v>
      </c>
      <c r="DF64" s="99">
        <v>11.6927823639775</v>
      </c>
      <c r="DG64" s="99">
        <v>11.745435272045</v>
      </c>
      <c r="DH64" s="99">
        <v>11.7980881801126</v>
      </c>
      <c r="DI64" s="99">
        <v>11.850741088180101</v>
      </c>
      <c r="DJ64" s="99">
        <v>11.903393996247701</v>
      </c>
      <c r="DK64" s="99">
        <v>11.956046904315199</v>
      </c>
      <c r="DL64" s="99">
        <v>12.0086998123827</v>
      </c>
      <c r="DM64" s="99">
        <v>12.0613527204503</v>
      </c>
      <c r="DN64" s="99">
        <v>12.1140056285178</v>
      </c>
      <c r="DO64" s="99">
        <v>12.1666585365854</v>
      </c>
      <c r="DP64" s="99">
        <v>12.219311444652901</v>
      </c>
      <c r="DQ64" s="99">
        <v>12.2719643527205</v>
      </c>
      <c r="DR64" s="99">
        <v>12.324617260787999</v>
      </c>
      <c r="DS64" s="99">
        <v>12.3772701688555</v>
      </c>
      <c r="DT64" s="99">
        <v>12.4299230769231</v>
      </c>
      <c r="DU64" s="99">
        <v>12.4825759849906</v>
      </c>
      <c r="DV64" s="99">
        <v>12.5352288930582</v>
      </c>
      <c r="DW64" s="99">
        <v>12.5878818011257</v>
      </c>
      <c r="DX64" s="99">
        <v>12.640534709193201</v>
      </c>
      <c r="DY64" s="99">
        <v>12.693187617260801</v>
      </c>
      <c r="DZ64" s="99">
        <v>12.745840525328299</v>
      </c>
      <c r="EA64" s="99">
        <v>12.798493433395899</v>
      </c>
      <c r="EB64" s="99">
        <v>12.8511463414634</v>
      </c>
      <c r="EC64" s="99">
        <v>12.903799249531</v>
      </c>
      <c r="ED64" s="99">
        <v>12.9564521575985</v>
      </c>
      <c r="EE64" s="99">
        <v>13.009105065666001</v>
      </c>
      <c r="EF64" s="99">
        <v>13.0617579737336</v>
      </c>
      <c r="EG64" s="99">
        <v>13.114410881801099</v>
      </c>
      <c r="EH64" s="99">
        <v>13.167063789868701</v>
      </c>
      <c r="EI64" s="99">
        <v>13.2197166979362</v>
      </c>
      <c r="EJ64" s="99">
        <v>13.272369606003799</v>
      </c>
      <c r="EK64" s="99">
        <v>13.3250225140713</v>
      </c>
      <c r="EL64" s="99">
        <v>13.3776754221388</v>
      </c>
      <c r="EM64" s="99">
        <v>13.4303283302064</v>
      </c>
      <c r="EN64" s="99">
        <v>13.482981238273901</v>
      </c>
      <c r="EO64" s="99">
        <v>13.535634146341501</v>
      </c>
      <c r="EP64" s="99">
        <v>13.588287054408999</v>
      </c>
      <c r="EQ64" s="99">
        <v>13.640939962476599</v>
      </c>
      <c r="ER64" s="99">
        <v>13.6935928705441</v>
      </c>
      <c r="ES64" s="99">
        <v>13.7462457786116</v>
      </c>
      <c r="ET64" s="99">
        <v>13.7988986866792</v>
      </c>
      <c r="EU64" s="99">
        <v>13.851551594746701</v>
      </c>
      <c r="EV64" s="99">
        <v>13.9042045028143</v>
      </c>
      <c r="EW64" s="99">
        <v>13.956857410881801</v>
      </c>
      <c r="EX64" s="99">
        <v>14.0095103189493</v>
      </c>
      <c r="EY64" s="99">
        <v>14.062163227016899</v>
      </c>
      <c r="EZ64" s="99">
        <v>14.1148161350844</v>
      </c>
      <c r="FA64" s="99">
        <v>14.167469043152</v>
      </c>
      <c r="FB64" s="99">
        <v>14.2201219512195</v>
      </c>
      <c r="FC64" s="99">
        <v>14.2727748592871</v>
      </c>
      <c r="FD64" s="99">
        <v>14.325427767354601</v>
      </c>
      <c r="FE64" s="99">
        <v>14.378080675422099</v>
      </c>
      <c r="FF64" s="99">
        <v>14.430733583489699</v>
      </c>
      <c r="FG64" s="99">
        <v>14.4833864915572</v>
      </c>
      <c r="FH64" s="99">
        <v>14.5360393996248</v>
      </c>
      <c r="FI64" s="99">
        <v>14.5886923076923</v>
      </c>
      <c r="FJ64" s="99">
        <v>14.6413452157599</v>
      </c>
      <c r="FK64" s="99">
        <v>14.6939981238274</v>
      </c>
      <c r="FL64" s="99">
        <v>14.746651031894899</v>
      </c>
      <c r="FM64" s="99">
        <v>14.799303939962501</v>
      </c>
      <c r="FN64" s="99">
        <v>14.851956848029999</v>
      </c>
      <c r="FO64" s="99">
        <v>14.904609756097599</v>
      </c>
      <c r="FP64" s="99">
        <v>14.9572626641651</v>
      </c>
      <c r="FQ64" s="99">
        <v>15.0099155722326</v>
      </c>
      <c r="FR64" s="99">
        <v>15.0625684803002</v>
      </c>
      <c r="FS64" s="99">
        <v>15.115221388367701</v>
      </c>
      <c r="FT64" s="99">
        <v>15.167874296435301</v>
      </c>
      <c r="FU64" s="99">
        <v>15.220527204502799</v>
      </c>
      <c r="FV64" s="99">
        <v>15.273180112570399</v>
      </c>
      <c r="FW64" s="99">
        <v>15.3258330206379</v>
      </c>
      <c r="FX64" s="99">
        <v>15.3784859287054</v>
      </c>
      <c r="FY64" s="99">
        <v>15.431138836773</v>
      </c>
      <c r="FZ64" s="99">
        <v>15.4837917448405</v>
      </c>
      <c r="GA64" s="99">
        <v>15.5364446529081</v>
      </c>
      <c r="GB64" s="99">
        <v>15.589097560975601</v>
      </c>
      <c r="GC64" s="99">
        <v>15.641750469043201</v>
      </c>
      <c r="GD64" s="99">
        <v>15.694403377110699</v>
      </c>
      <c r="GE64" s="99">
        <v>15.7470562851782</v>
      </c>
      <c r="GF64" s="99">
        <v>15.7997091932458</v>
      </c>
      <c r="GG64" s="99">
        <v>15.8523621013133</v>
      </c>
      <c r="GH64" s="99">
        <v>15.9050150093809</v>
      </c>
      <c r="GI64" s="99">
        <v>15.957667917448401</v>
      </c>
      <c r="GJ64" s="99">
        <v>16.010320825515901</v>
      </c>
      <c r="GK64" s="99">
        <v>16.062973733583501</v>
      </c>
      <c r="GL64" s="99">
        <v>16.115626641651001</v>
      </c>
      <c r="GM64" s="99">
        <v>16.168279549718601</v>
      </c>
      <c r="GN64" s="99">
        <v>16.220932457786098</v>
      </c>
      <c r="GO64" s="99">
        <v>16.273585365853599</v>
      </c>
      <c r="GP64" s="99">
        <v>16.326238273921199</v>
      </c>
      <c r="GQ64" s="99">
        <v>16.378891181988699</v>
      </c>
      <c r="GR64" s="99">
        <v>16.431544090056299</v>
      </c>
      <c r="GS64" s="99">
        <v>16.484196998123799</v>
      </c>
      <c r="GT64" s="99">
        <v>16.5368499061913</v>
      </c>
      <c r="GU64" s="99">
        <v>16.5895028142589</v>
      </c>
      <c r="GV64" s="99">
        <v>16.6421557223264</v>
      </c>
      <c r="GW64" s="99">
        <v>16.694808630394</v>
      </c>
      <c r="GX64" s="99">
        <v>16.747461538461501</v>
      </c>
      <c r="GY64" s="99">
        <v>16.800114446529101</v>
      </c>
      <c r="GZ64" s="99">
        <v>16.852767354596601</v>
      </c>
      <c r="HA64" s="99">
        <v>16.905420262664101</v>
      </c>
      <c r="HB64" s="99">
        <v>16.958073170731701</v>
      </c>
      <c r="HC64" s="99">
        <v>17.010726078799198</v>
      </c>
      <c r="HD64" s="99">
        <v>17.063378986866802</v>
      </c>
      <c r="HE64" s="99">
        <v>17.116031894934299</v>
      </c>
      <c r="HF64" s="99">
        <v>17.168684803001899</v>
      </c>
      <c r="HG64" s="99">
        <v>17.221337711069399</v>
      </c>
      <c r="HH64" s="99">
        <v>17.273990619136899</v>
      </c>
      <c r="HI64" s="99">
        <v>17.326643527204499</v>
      </c>
      <c r="HJ64" s="99">
        <v>17.379296435272</v>
      </c>
      <c r="HK64" s="99">
        <v>17.4319493433396</v>
      </c>
      <c r="HL64" s="99">
        <v>17.4846022514071</v>
      </c>
      <c r="HM64" s="99">
        <v>17.5372551594747</v>
      </c>
      <c r="HN64" s="99">
        <v>17.589908067542201</v>
      </c>
      <c r="HO64" s="99">
        <v>17.642560975609701</v>
      </c>
      <c r="HP64" s="99">
        <v>17.695213883677301</v>
      </c>
      <c r="HQ64" s="99">
        <v>17.747866791744801</v>
      </c>
      <c r="HR64" s="99">
        <v>17.800519699812401</v>
      </c>
      <c r="HS64" s="99">
        <v>17.853172607879898</v>
      </c>
      <c r="HT64" s="99">
        <v>17.905825515947399</v>
      </c>
      <c r="HU64" s="99">
        <v>17.958478424014999</v>
      </c>
      <c r="HV64" s="99">
        <v>18.011131332082499</v>
      </c>
      <c r="HW64" s="99">
        <v>18.063784240150099</v>
      </c>
      <c r="HX64" s="99">
        <v>18.116437148217599</v>
      </c>
      <c r="HY64" s="99">
        <v>18.169090056285199</v>
      </c>
      <c r="HZ64" s="99">
        <v>18.2217429643527</v>
      </c>
      <c r="IA64" s="99">
        <v>18.2743958724202</v>
      </c>
      <c r="IB64" s="99">
        <v>18.3270487804878</v>
      </c>
      <c r="IC64" s="99">
        <v>18.379701688555301</v>
      </c>
      <c r="ID64" s="99">
        <v>18.432354596622901</v>
      </c>
      <c r="IE64" s="99">
        <v>18.485007504690401</v>
      </c>
      <c r="IF64" s="99">
        <v>18.537660412758001</v>
      </c>
      <c r="IG64" s="99">
        <v>18.590313320825501</v>
      </c>
      <c r="IH64" s="99">
        <v>18.642966228892998</v>
      </c>
      <c r="II64" s="99">
        <v>18.695619136960602</v>
      </c>
      <c r="IJ64" s="99">
        <v>18.748272045028099</v>
      </c>
      <c r="IK64" s="99">
        <v>18.800924953095699</v>
      </c>
      <c r="IL64" s="99">
        <v>18.853577861163199</v>
      </c>
      <c r="IM64" s="99">
        <v>18.906230769230799</v>
      </c>
      <c r="IN64" s="99">
        <v>18.958883677298299</v>
      </c>
      <c r="IO64" s="99">
        <v>19.0115365853658</v>
      </c>
      <c r="IP64" s="99">
        <v>19.0641894934334</v>
      </c>
      <c r="IQ64" s="99">
        <v>19.1168424015009</v>
      </c>
      <c r="IR64" s="99">
        <v>19.1694953095685</v>
      </c>
      <c r="IS64" s="99">
        <v>19.222148217636001</v>
      </c>
      <c r="IT64" s="99">
        <v>19.274801125703501</v>
      </c>
      <c r="IU64" s="99">
        <v>19.327454033771101</v>
      </c>
      <c r="IV64" s="99">
        <v>19.380106941838601</v>
      </c>
      <c r="IW64" s="99">
        <v>19.432759849906201</v>
      </c>
      <c r="IX64" s="99">
        <v>19.485412757973702</v>
      </c>
      <c r="IY64" s="99">
        <v>19.538065666041302</v>
      </c>
      <c r="IZ64" s="99">
        <v>19.590718574108799</v>
      </c>
      <c r="JA64" s="99">
        <v>19.643371482176299</v>
      </c>
      <c r="JB64" s="99">
        <v>19.696024390243899</v>
      </c>
      <c r="JC64" s="99">
        <v>19.748677298311399</v>
      </c>
      <c r="JD64" s="99">
        <v>19.801330206378999</v>
      </c>
      <c r="JE64" s="99">
        <v>19.8539831144465</v>
      </c>
      <c r="JF64" s="99">
        <v>19.9066360225141</v>
      </c>
      <c r="JG64" s="99">
        <v>19.9592889305816</v>
      </c>
      <c r="JH64" s="99">
        <v>20.011941838649101</v>
      </c>
      <c r="JI64" s="99">
        <v>20.064594746716701</v>
      </c>
      <c r="JJ64" s="99">
        <v>20.117247654784201</v>
      </c>
      <c r="JK64" s="99">
        <v>20.169900562851801</v>
      </c>
      <c r="JL64" s="99">
        <v>20.222553470919301</v>
      </c>
      <c r="JM64" s="99">
        <v>20.275206378986798</v>
      </c>
      <c r="JN64" s="99">
        <v>20.327859287054402</v>
      </c>
      <c r="JO64" s="99">
        <v>20.380512195121899</v>
      </c>
      <c r="JP64" s="99">
        <v>20.433165103189499</v>
      </c>
      <c r="JQ64" s="99">
        <v>20.485818011256999</v>
      </c>
      <c r="JR64" s="99">
        <v>20.538470919324599</v>
      </c>
      <c r="JS64" s="99">
        <v>20.591123827392099</v>
      </c>
      <c r="JT64" s="99">
        <v>20.6437767354596</v>
      </c>
      <c r="JU64" s="99">
        <v>20.6964296435272</v>
      </c>
      <c r="JV64" s="99">
        <v>20.7490825515947</v>
      </c>
      <c r="JW64" s="99">
        <v>20.8017354596623</v>
      </c>
      <c r="JX64" s="99">
        <v>20.854388367729801</v>
      </c>
      <c r="JY64" s="99">
        <v>20.9070412757974</v>
      </c>
      <c r="JZ64" s="99">
        <v>20.959694183864901</v>
      </c>
      <c r="KA64" s="99">
        <v>21.012347091932401</v>
      </c>
      <c r="KB64" s="99">
        <v>21.065000000000001</v>
      </c>
      <c r="KC64" s="99">
        <v>21.117652908067502</v>
      </c>
      <c r="KD64" s="99">
        <v>21.170305816135102</v>
      </c>
      <c r="KE64" s="99">
        <v>21.222958724202599</v>
      </c>
      <c r="KF64" s="99">
        <v>21.275611632270198</v>
      </c>
      <c r="KG64" s="99">
        <v>21.328264540337699</v>
      </c>
      <c r="KH64" s="99">
        <v>21.380917448405199</v>
      </c>
      <c r="KI64" s="99">
        <v>21.433570356472799</v>
      </c>
      <c r="KJ64" s="99">
        <v>21.4862232645403</v>
      </c>
      <c r="KK64" s="99">
        <v>21.5388761726079</v>
      </c>
      <c r="KL64" s="99">
        <v>21.5915290806754</v>
      </c>
      <c r="KM64" s="99">
        <v>21.644181988742901</v>
      </c>
      <c r="KN64" s="99">
        <v>21.6968348968105</v>
      </c>
      <c r="KO64" s="99">
        <v>21.749487804878001</v>
      </c>
      <c r="KP64" s="99">
        <v>21.802140712945601</v>
      </c>
      <c r="KQ64" s="99">
        <v>21.854793621013101</v>
      </c>
      <c r="KR64" s="99">
        <v>21.907446529080701</v>
      </c>
      <c r="KS64" s="99">
        <v>21.960099437148202</v>
      </c>
      <c r="KT64" s="99">
        <v>22.012752345215699</v>
      </c>
      <c r="KU64" s="99">
        <v>22.065405253283298</v>
      </c>
      <c r="KV64" s="99">
        <v>22.118058161350799</v>
      </c>
      <c r="KW64" s="99">
        <v>22.170711069418399</v>
      </c>
      <c r="KX64" s="99">
        <v>22.223363977485899</v>
      </c>
      <c r="KY64" s="99">
        <v>22.276016885553499</v>
      </c>
      <c r="KZ64" s="99">
        <v>22.328669793621</v>
      </c>
      <c r="LA64" s="99">
        <v>22.3813227016885</v>
      </c>
      <c r="LB64" s="99">
        <v>22.4339756097561</v>
      </c>
      <c r="LC64" s="99">
        <v>22.486628517823601</v>
      </c>
      <c r="LD64" s="99">
        <v>22.5392814258912</v>
      </c>
      <c r="LE64" s="99">
        <v>22.591934333958701</v>
      </c>
      <c r="LF64" s="99">
        <v>22.644587242026301</v>
      </c>
      <c r="LG64" s="99">
        <v>22.697240150093801</v>
      </c>
      <c r="LH64" s="99">
        <v>22.749893058161302</v>
      </c>
      <c r="LI64" s="99">
        <v>22.802545966228902</v>
      </c>
      <c r="LJ64" s="99">
        <v>22.855198874296399</v>
      </c>
      <c r="LK64" s="99">
        <v>22.907851782363998</v>
      </c>
      <c r="LL64" s="99">
        <v>22.960504690431499</v>
      </c>
      <c r="LM64" s="99">
        <v>23.013157598498999</v>
      </c>
      <c r="LN64" s="99">
        <v>23.065810506566599</v>
      </c>
      <c r="LO64" s="99">
        <v>23.1184634146341</v>
      </c>
      <c r="LP64" s="99">
        <v>23.1711163227017</v>
      </c>
      <c r="LQ64" s="99">
        <v>23.2237692307692</v>
      </c>
      <c r="LR64" s="99">
        <v>23.2764221388368</v>
      </c>
      <c r="LS64" s="99">
        <v>23.3290750469043</v>
      </c>
      <c r="LT64" s="99">
        <v>23.381727954971801</v>
      </c>
      <c r="LU64" s="99">
        <v>23.434380863039401</v>
      </c>
      <c r="LV64" s="99">
        <v>23.487033771106901</v>
      </c>
      <c r="LW64" s="99">
        <v>23.539686679174501</v>
      </c>
      <c r="LX64" s="99">
        <v>23.592339587242002</v>
      </c>
      <c r="LY64" s="99">
        <v>23.644992495309602</v>
      </c>
      <c r="LZ64" s="99">
        <v>23.697645403377098</v>
      </c>
      <c r="MA64" s="99">
        <v>23.750298311444599</v>
      </c>
      <c r="MB64" s="99">
        <v>23.802951219512199</v>
      </c>
      <c r="MC64" s="99">
        <v>23.855604127579699</v>
      </c>
      <c r="MD64" s="99">
        <v>23.908257035647299</v>
      </c>
      <c r="ME64" s="99">
        <v>23.9609099437148</v>
      </c>
      <c r="MF64" s="99">
        <v>24.0135628517823</v>
      </c>
      <c r="MG64" s="99">
        <v>24.0662157598499</v>
      </c>
      <c r="MH64" s="99">
        <v>24.1188686679174</v>
      </c>
      <c r="MI64" s="99">
        <v>24.171521575985</v>
      </c>
      <c r="MJ64" s="99">
        <v>24.224174484052501</v>
      </c>
      <c r="MK64" s="99">
        <v>24.276827392120101</v>
      </c>
      <c r="ML64" s="99">
        <v>24.329480300187601</v>
      </c>
      <c r="MM64" s="99">
        <v>24.382133208255102</v>
      </c>
      <c r="MN64" s="99">
        <v>24.434786116322702</v>
      </c>
      <c r="MO64" s="99">
        <v>24.487439024390198</v>
      </c>
      <c r="MP64" s="99">
        <v>24.540091932457798</v>
      </c>
      <c r="MQ64" s="99">
        <v>24.592744840525299</v>
      </c>
      <c r="MR64" s="99">
        <v>24.645397748592899</v>
      </c>
      <c r="MS64" s="99">
        <v>24.698050656660399</v>
      </c>
      <c r="MT64" s="99">
        <v>24.7507035647279</v>
      </c>
      <c r="MU64" s="99">
        <v>24.8033564727955</v>
      </c>
      <c r="MV64" s="99">
        <v>24.856009380863</v>
      </c>
      <c r="MW64" s="99">
        <v>24.9086622889306</v>
      </c>
      <c r="MX64" s="99">
        <v>24.9613151969981</v>
      </c>
      <c r="MY64" s="99">
        <v>25.0139681050657</v>
      </c>
      <c r="MZ64" s="99">
        <v>25.066621013133201</v>
      </c>
      <c r="NA64" s="99">
        <v>25.119273921200701</v>
      </c>
      <c r="NB64" s="99">
        <v>25.171926829268301</v>
      </c>
      <c r="NC64" s="99">
        <v>25.224579737335802</v>
      </c>
      <c r="ND64" s="99">
        <v>25.277232645403402</v>
      </c>
      <c r="NE64" s="99">
        <v>25.329885553470898</v>
      </c>
      <c r="NF64" s="99">
        <v>25.382538461538399</v>
      </c>
      <c r="NG64" s="99">
        <v>25.435191369605999</v>
      </c>
      <c r="NH64" s="99">
        <v>25.487844277673499</v>
      </c>
      <c r="NI64" s="99">
        <v>25.540497185741099</v>
      </c>
      <c r="NJ64" s="99">
        <v>25.5931500938086</v>
      </c>
      <c r="NK64" s="99">
        <v>25.6458030018762</v>
      </c>
      <c r="NL64" s="99">
        <v>25.6984559099437</v>
      </c>
      <c r="NM64" s="99">
        <v>25.7511088180112</v>
      </c>
      <c r="NN64" s="99">
        <v>25.8037617260788</v>
      </c>
      <c r="NO64" s="99">
        <v>25.856414634146301</v>
      </c>
      <c r="NP64" s="99">
        <v>25.909067542213901</v>
      </c>
      <c r="NQ64" s="99">
        <v>25.961720450281401</v>
      </c>
      <c r="NR64" s="99">
        <v>26.014373358349001</v>
      </c>
      <c r="NS64" s="99">
        <v>26.067026266416502</v>
      </c>
      <c r="NT64" s="99">
        <v>26.119679174483998</v>
      </c>
      <c r="NU64" s="99">
        <v>26.172332082551598</v>
      </c>
      <c r="NV64" s="99">
        <v>26.224984990619099</v>
      </c>
      <c r="NW64" s="99">
        <v>26.277637898686699</v>
      </c>
      <c r="NX64" s="99">
        <v>26.330290806754199</v>
      </c>
      <c r="NY64" s="99">
        <v>26.3829437148217</v>
      </c>
      <c r="NZ64" s="99">
        <v>26.4355966228893</v>
      </c>
      <c r="OA64" s="99">
        <v>26.4882495309568</v>
      </c>
      <c r="OB64" s="99">
        <v>26.5409024390244</v>
      </c>
      <c r="OC64" s="99">
        <v>26.5935553470919</v>
      </c>
      <c r="OD64" s="99">
        <v>26.6462082551595</v>
      </c>
      <c r="OE64" s="99">
        <v>26.698861163227001</v>
      </c>
      <c r="OF64" s="99">
        <v>26.751514071294501</v>
      </c>
      <c r="OG64" s="99">
        <v>26.804166979362101</v>
      </c>
      <c r="OH64" s="99">
        <v>26.856819887429602</v>
      </c>
      <c r="OI64" s="99">
        <v>26.909472795497202</v>
      </c>
      <c r="OJ64" s="99">
        <v>26.962125703564698</v>
      </c>
      <c r="OK64" s="99">
        <v>27.014778611632298</v>
      </c>
      <c r="OL64" s="99">
        <v>27.067431519699799</v>
      </c>
      <c r="OM64" s="99">
        <v>27.120084427767299</v>
      </c>
      <c r="ON64" s="99">
        <v>27.172737335834899</v>
      </c>
      <c r="OO64" s="99">
        <v>27.2253902439024</v>
      </c>
      <c r="OP64" s="99">
        <v>27.27804315197</v>
      </c>
      <c r="OQ64" s="99">
        <v>27.3306960600375</v>
      </c>
      <c r="OR64" s="99">
        <v>27.3833489681051</v>
      </c>
      <c r="OS64" s="99">
        <v>27.4360018761726</v>
      </c>
      <c r="OT64" s="99">
        <v>27.488654784240101</v>
      </c>
      <c r="OU64" s="99">
        <v>27.541307692307701</v>
      </c>
      <c r="OV64" s="99">
        <v>27.593960600375201</v>
      </c>
      <c r="OW64" s="99">
        <v>27.646613508442801</v>
      </c>
      <c r="OX64" s="99">
        <v>27.699266416510302</v>
      </c>
      <c r="OY64" s="99">
        <v>27.751919324577798</v>
      </c>
      <c r="OZ64" s="99">
        <v>27.804572232645398</v>
      </c>
      <c r="PA64" s="99">
        <v>27.857225140712899</v>
      </c>
      <c r="PB64" s="99">
        <v>27.909878048780499</v>
      </c>
      <c r="PC64" s="99">
        <v>27.962530956847999</v>
      </c>
      <c r="PD64" s="99">
        <v>28.015183864915599</v>
      </c>
      <c r="PE64" s="99">
        <v>28.0678367729831</v>
      </c>
      <c r="PF64" s="99">
        <v>28.1204896810506</v>
      </c>
      <c r="PG64" s="99">
        <v>28.1731425891182</v>
      </c>
      <c r="PH64" s="99">
        <v>28.2257954971857</v>
      </c>
      <c r="PI64" s="99">
        <v>28.2784484052533</v>
      </c>
      <c r="PJ64" s="99">
        <v>28.331101313320801</v>
      </c>
      <c r="PK64" s="99">
        <v>28.383754221388401</v>
      </c>
      <c r="PL64" s="99">
        <v>28.436407129455901</v>
      </c>
      <c r="PM64" s="99">
        <v>28.489060037523402</v>
      </c>
      <c r="PN64" s="99">
        <v>28.541712945591001</v>
      </c>
      <c r="PO64" s="99">
        <v>28.594365853658498</v>
      </c>
      <c r="PP64" s="99">
        <v>28.647018761726098</v>
      </c>
      <c r="PQ64" s="99">
        <v>28.699671669793599</v>
      </c>
      <c r="PR64" s="99">
        <v>28.752324577861199</v>
      </c>
      <c r="PS64" s="99">
        <v>28.804977485928699</v>
      </c>
      <c r="PT64" s="99">
        <v>28.8576303939962</v>
      </c>
      <c r="PU64" s="99">
        <v>28.910283302063799</v>
      </c>
      <c r="PV64" s="99">
        <v>28.9629362101313</v>
      </c>
      <c r="PW64" s="99">
        <v>29.0155891181989</v>
      </c>
      <c r="PX64" s="99">
        <v>29.0682420262664</v>
      </c>
      <c r="PY64" s="99">
        <v>29.120894934333901</v>
      </c>
      <c r="PZ64" s="99">
        <v>29.173547842401501</v>
      </c>
      <c r="QA64" s="99">
        <v>29.226200750469001</v>
      </c>
      <c r="QB64" s="99">
        <v>29.278853658536601</v>
      </c>
      <c r="QC64" s="99">
        <v>29.331506566604101</v>
      </c>
      <c r="QD64" s="99">
        <v>29.384159474671701</v>
      </c>
      <c r="QE64" s="99">
        <v>29.436812382739198</v>
      </c>
      <c r="QF64" s="99">
        <v>29.489465290806699</v>
      </c>
      <c r="QG64" s="99">
        <v>29.542118198874299</v>
      </c>
      <c r="QH64" s="99">
        <v>29.594771106941799</v>
      </c>
      <c r="QI64" s="99">
        <v>29.647424015009399</v>
      </c>
      <c r="QJ64" s="99">
        <v>29.7000769230769</v>
      </c>
      <c r="QK64" s="99">
        <v>29.752729831144499</v>
      </c>
      <c r="QL64" s="99">
        <v>29.805382739212</v>
      </c>
      <c r="QM64" s="99">
        <v>29.8580356472795</v>
      </c>
      <c r="QN64" s="99">
        <v>29.9106885553471</v>
      </c>
      <c r="QO64" s="99">
        <v>29.963341463414601</v>
      </c>
      <c r="QP64" s="99">
        <v>30.015994371482201</v>
      </c>
      <c r="QQ64" s="99">
        <v>30.068647279549701</v>
      </c>
      <c r="QR64" s="99">
        <v>30.121300187617301</v>
      </c>
      <c r="QS64" s="99">
        <v>30.173953095684801</v>
      </c>
      <c r="QT64" s="99">
        <v>30.226606003752298</v>
      </c>
      <c r="QU64" s="99">
        <v>30.279258911819898</v>
      </c>
      <c r="QV64" s="99">
        <v>30.331911819887399</v>
      </c>
      <c r="QW64" s="99">
        <v>30.384564727954999</v>
      </c>
      <c r="QX64" s="99">
        <v>30.437217636022499</v>
      </c>
      <c r="QY64" s="99">
        <v>30.48987054409</v>
      </c>
      <c r="QZ64" s="99">
        <v>30.542523452157599</v>
      </c>
      <c r="RA64" s="99">
        <v>30.5951763602251</v>
      </c>
      <c r="RB64" s="99">
        <v>30.6478292682927</v>
      </c>
      <c r="RC64" s="99">
        <v>30.7004821763602</v>
      </c>
      <c r="RD64" s="99">
        <v>30.7531350844278</v>
      </c>
      <c r="RE64" s="99">
        <v>30.805787992495301</v>
      </c>
      <c r="RF64" s="99">
        <v>30.858440900562801</v>
      </c>
      <c r="RG64" s="99">
        <v>30.911093808630401</v>
      </c>
      <c r="RH64" s="99">
        <v>30.963746716697901</v>
      </c>
      <c r="RI64" s="99">
        <v>31.016399624765501</v>
      </c>
      <c r="RJ64" s="99">
        <v>31.069052532832998</v>
      </c>
      <c r="RK64" s="99">
        <v>31.121705440900602</v>
      </c>
      <c r="RL64" s="99">
        <v>31.174358348968099</v>
      </c>
      <c r="RM64" s="99">
        <v>31.227011257035599</v>
      </c>
      <c r="RN64" s="99">
        <v>31.279664165103199</v>
      </c>
      <c r="RO64" s="99">
        <v>31.332317073170699</v>
      </c>
      <c r="RP64" s="99">
        <v>31.384969981238299</v>
      </c>
      <c r="RQ64" s="99">
        <v>31.4376228893058</v>
      </c>
      <c r="RR64" s="99">
        <v>31.4902757973733</v>
      </c>
      <c r="RS64" s="99">
        <v>31.5429287054409</v>
      </c>
      <c r="RT64" s="99">
        <v>31.595581613508401</v>
      </c>
      <c r="RU64" s="99">
        <v>31.648234521576001</v>
      </c>
      <c r="RV64" s="99">
        <v>31.700887429643501</v>
      </c>
      <c r="RW64" s="99">
        <v>31.753540337711101</v>
      </c>
      <c r="RX64" s="99">
        <v>31.806193245778601</v>
      </c>
      <c r="RY64" s="99">
        <v>31.858846153846098</v>
      </c>
      <c r="RZ64" s="99">
        <v>31.911499061913698</v>
      </c>
      <c r="SA64" s="99">
        <v>31.964151969981199</v>
      </c>
      <c r="SB64" s="99">
        <v>32.016804878048802</v>
      </c>
      <c r="SC64" s="99">
        <v>32.069457786116303</v>
      </c>
      <c r="SD64" s="99">
        <v>32.122110694183903</v>
      </c>
      <c r="SE64" s="99">
        <v>32.174763602251403</v>
      </c>
      <c r="SF64" s="99">
        <v>32.227416510318903</v>
      </c>
      <c r="SG64" s="99">
        <v>32.280069418386503</v>
      </c>
      <c r="SH64" s="99">
        <v>32.332722326453997</v>
      </c>
      <c r="SI64" s="99">
        <v>32.385375234521597</v>
      </c>
      <c r="SJ64" s="99">
        <v>32.438028142589097</v>
      </c>
      <c r="SK64" s="99">
        <v>32.490681050656697</v>
      </c>
      <c r="SL64" s="99">
        <v>32.543333958724197</v>
      </c>
      <c r="SM64" s="99">
        <v>32.595986866791698</v>
      </c>
      <c r="SN64" s="99">
        <v>32.648639774859298</v>
      </c>
      <c r="SO64" s="99">
        <v>32.701292682926798</v>
      </c>
      <c r="SP64" s="99">
        <v>32.753945590994398</v>
      </c>
      <c r="SQ64" s="99">
        <v>32.806598499061899</v>
      </c>
      <c r="SR64" s="99">
        <v>32.859251407129399</v>
      </c>
      <c r="SS64" s="99">
        <v>32.911904315196999</v>
      </c>
      <c r="ST64" s="99">
        <v>32.964557223264499</v>
      </c>
      <c r="SU64" s="99">
        <v>33.017210131332099</v>
      </c>
      <c r="SV64" s="99">
        <v>33.0698630393996</v>
      </c>
      <c r="SW64" s="99">
        <v>33.1225159474672</v>
      </c>
      <c r="SX64" s="99">
        <v>33.1751688555347</v>
      </c>
      <c r="SY64" s="99">
        <v>33.227821763602201</v>
      </c>
      <c r="SZ64" s="99">
        <v>33.280474671669801</v>
      </c>
      <c r="TA64" s="99">
        <v>33.333127579737301</v>
      </c>
      <c r="TB64" s="99">
        <v>33.385780487804901</v>
      </c>
      <c r="TC64" s="99">
        <v>33.438433395872401</v>
      </c>
      <c r="TD64" s="99">
        <v>33.491086303940001</v>
      </c>
      <c r="TE64" s="99">
        <v>33.543739212007502</v>
      </c>
      <c r="TF64" s="99">
        <v>33.596392120075002</v>
      </c>
      <c r="TG64" s="99">
        <v>33.649045028142602</v>
      </c>
      <c r="TH64" s="99">
        <v>33.701697936210103</v>
      </c>
      <c r="TI64" s="99">
        <v>33.754350844277702</v>
      </c>
      <c r="TJ64" s="99">
        <v>33.807003752345203</v>
      </c>
      <c r="TK64" s="99">
        <v>33.859656660412703</v>
      </c>
      <c r="TL64" s="99">
        <v>33.912309568480303</v>
      </c>
      <c r="TM64" s="99">
        <v>33.964962476547797</v>
      </c>
      <c r="TN64" s="99">
        <v>34.017615384615397</v>
      </c>
      <c r="TO64" s="99">
        <v>34.070268292682897</v>
      </c>
      <c r="TP64" s="99">
        <v>34.122921200750497</v>
      </c>
      <c r="TQ64" s="99">
        <v>34.175574108817997</v>
      </c>
      <c r="TR64" s="99">
        <v>34.228227016885498</v>
      </c>
      <c r="TS64" s="99">
        <v>34.280879924953098</v>
      </c>
      <c r="TT64" s="99">
        <v>34.333532833020598</v>
      </c>
      <c r="TU64" s="99">
        <v>34.386185741088198</v>
      </c>
      <c r="TV64" s="99">
        <v>34.438838649155699</v>
      </c>
      <c r="TW64" s="99">
        <v>34.491491557223299</v>
      </c>
      <c r="TX64" s="99">
        <v>34.544144465290799</v>
      </c>
      <c r="TY64" s="99">
        <v>34.596797373358299</v>
      </c>
      <c r="TZ64" s="99">
        <v>34.649450281425899</v>
      </c>
      <c r="UA64" s="99">
        <v>34.7021031894934</v>
      </c>
      <c r="UB64" s="99">
        <v>34.754756097561</v>
      </c>
      <c r="UC64" s="99">
        <v>34.8074090056285</v>
      </c>
      <c r="UD64" s="99">
        <v>34.8600619136961</v>
      </c>
      <c r="UE64" s="99">
        <v>34.912714821763601</v>
      </c>
      <c r="UF64" s="99">
        <v>34.965367729831101</v>
      </c>
      <c r="UG64" s="99">
        <v>35.018020637898701</v>
      </c>
      <c r="UH64" s="99">
        <v>35.070673545966201</v>
      </c>
      <c r="UI64" s="99">
        <v>35.123326454033801</v>
      </c>
      <c r="UJ64" s="99">
        <v>35.175979362101302</v>
      </c>
      <c r="UK64" s="99">
        <v>35.228632270168802</v>
      </c>
      <c r="UL64" s="99">
        <v>35.281285178236402</v>
      </c>
      <c r="UM64" s="99">
        <v>35.333938086303903</v>
      </c>
      <c r="UN64" s="99">
        <v>35.386590994371502</v>
      </c>
      <c r="UO64" s="99">
        <v>35.439243902439003</v>
      </c>
      <c r="UP64" s="99">
        <v>35.491896810506603</v>
      </c>
      <c r="UQ64" s="99">
        <v>35.544549718574103</v>
      </c>
      <c r="UR64" s="99">
        <v>35.597202626641597</v>
      </c>
      <c r="US64" s="99">
        <v>35.649855534709097</v>
      </c>
      <c r="UT64" s="99">
        <v>35.702508442776697</v>
      </c>
    </row>
    <row r="65" spans="1:566" x14ac:dyDescent="0.2">
      <c r="A65" s="89">
        <v>29.5</v>
      </c>
      <c r="B65" s="90">
        <v>5.95</v>
      </c>
      <c r="C65" s="90">
        <v>6</v>
      </c>
      <c r="D65" s="90">
        <v>6.06</v>
      </c>
      <c r="E65" s="90">
        <v>6.11</v>
      </c>
      <c r="F65" s="90">
        <v>6.16</v>
      </c>
      <c r="G65" s="90">
        <v>6.21</v>
      </c>
      <c r="H65" s="90">
        <v>6.27</v>
      </c>
      <c r="I65" s="90">
        <v>6.32</v>
      </c>
      <c r="J65" s="90">
        <v>6.37</v>
      </c>
      <c r="K65" s="90">
        <v>6.42</v>
      </c>
      <c r="L65" s="90">
        <v>6.47</v>
      </c>
      <c r="M65" s="90">
        <v>6.53</v>
      </c>
      <c r="N65" s="90">
        <v>6.58</v>
      </c>
      <c r="O65" s="90">
        <v>6.63</v>
      </c>
      <c r="P65" s="90">
        <v>6.68</v>
      </c>
      <c r="Q65" s="90">
        <v>6.74</v>
      </c>
      <c r="R65" s="90">
        <v>6.79</v>
      </c>
      <c r="S65" s="90">
        <v>6.84</v>
      </c>
      <c r="T65" s="90">
        <v>6.89</v>
      </c>
      <c r="U65" s="91">
        <v>6.95</v>
      </c>
      <c r="V65" s="90">
        <v>7</v>
      </c>
      <c r="W65" s="90">
        <v>7.05</v>
      </c>
      <c r="X65" s="90">
        <v>7.1</v>
      </c>
      <c r="Y65" s="90">
        <v>7.15</v>
      </c>
      <c r="Z65" s="90">
        <v>7.21</v>
      </c>
      <c r="AA65" s="90">
        <v>7.26</v>
      </c>
      <c r="AB65" s="90">
        <v>7.31</v>
      </c>
      <c r="AC65" s="90">
        <v>7.36</v>
      </c>
      <c r="AD65" s="90">
        <v>7.42</v>
      </c>
      <c r="AE65" s="90">
        <v>7.47</v>
      </c>
      <c r="AF65" s="90">
        <v>7.52</v>
      </c>
      <c r="AG65" s="90">
        <v>7.57</v>
      </c>
      <c r="AH65" s="90">
        <v>7.62</v>
      </c>
      <c r="AI65" s="90">
        <v>7.68</v>
      </c>
      <c r="AJ65" s="90">
        <v>7.73</v>
      </c>
      <c r="AK65" s="90">
        <v>7.78</v>
      </c>
      <c r="AL65" s="90">
        <v>7.83</v>
      </c>
      <c r="AM65" s="90">
        <v>7.89</v>
      </c>
      <c r="AN65" s="90">
        <v>7.94</v>
      </c>
      <c r="AO65" s="91">
        <v>7.99</v>
      </c>
      <c r="AP65" s="90">
        <v>8.0430769230769208</v>
      </c>
      <c r="AQ65" s="90">
        <v>8.0953611632270199</v>
      </c>
      <c r="AR65" s="90">
        <v>8.1476454033771102</v>
      </c>
      <c r="AS65" s="90">
        <v>8.1999296435272004</v>
      </c>
      <c r="AT65" s="90">
        <v>8.2522138836772996</v>
      </c>
      <c r="AU65" s="90">
        <v>8.3044981238273898</v>
      </c>
      <c r="AV65" s="90">
        <v>8.3567823639774907</v>
      </c>
      <c r="AW65" s="90">
        <v>8.4090666041275792</v>
      </c>
      <c r="AX65" s="90">
        <v>8.4613508442776695</v>
      </c>
      <c r="AY65" s="90">
        <v>8.5136350844277704</v>
      </c>
      <c r="AZ65" s="90">
        <v>8.5659193245778606</v>
      </c>
      <c r="BA65" s="90">
        <v>8.6182035647279491</v>
      </c>
      <c r="BB65" s="90">
        <v>8.67048780487805</v>
      </c>
      <c r="BC65" s="90">
        <v>8.7227720450281403</v>
      </c>
      <c r="BD65" s="90">
        <v>8.7750562851782394</v>
      </c>
      <c r="BE65" s="90">
        <v>8.8273405253283297</v>
      </c>
      <c r="BF65" s="90">
        <v>8.8796247654784199</v>
      </c>
      <c r="BG65" s="90">
        <v>8.9319090056285209</v>
      </c>
      <c r="BH65" s="90">
        <v>8.9841932457786093</v>
      </c>
      <c r="BI65" s="91">
        <v>9.0364774859287103</v>
      </c>
      <c r="BJ65" s="90">
        <v>9.0887617260788005</v>
      </c>
      <c r="BK65" s="99">
        <v>9.1410459662288908</v>
      </c>
      <c r="BL65" s="99">
        <v>9.1933302063789899</v>
      </c>
      <c r="BM65" s="99">
        <v>9.2456144465290802</v>
      </c>
      <c r="BN65" s="99">
        <v>9.2978986866791704</v>
      </c>
      <c r="BO65" s="99">
        <v>9.3501829268292695</v>
      </c>
      <c r="BP65" s="99">
        <v>9.4024671669793598</v>
      </c>
      <c r="BQ65" s="99">
        <v>9.4547514071294607</v>
      </c>
      <c r="BR65" s="99">
        <v>9.5070356472795492</v>
      </c>
      <c r="BS65" s="99">
        <v>9.5593198874296395</v>
      </c>
      <c r="BT65" s="99">
        <v>9.6116041275797404</v>
      </c>
      <c r="BU65" s="99">
        <v>9.6638883677298306</v>
      </c>
      <c r="BV65" s="99">
        <v>9.7161726078799209</v>
      </c>
      <c r="BW65" s="99">
        <v>9.76845684803002</v>
      </c>
      <c r="BX65" s="99">
        <v>9.8207410881801103</v>
      </c>
      <c r="BY65" s="99">
        <v>9.8730253283302094</v>
      </c>
      <c r="BZ65" s="99">
        <v>9.9253095684802997</v>
      </c>
      <c r="CA65" s="99">
        <v>9.9775938086303899</v>
      </c>
      <c r="CB65" s="99">
        <v>10.0298780487805</v>
      </c>
      <c r="CC65" s="99">
        <v>10.082162288930601</v>
      </c>
      <c r="CD65" s="99">
        <v>10.1344465290807</v>
      </c>
      <c r="CE65" s="99">
        <v>10.186730769230801</v>
      </c>
      <c r="CF65" s="99">
        <v>10.2390150093809</v>
      </c>
      <c r="CG65" s="99">
        <v>10.291299249531001</v>
      </c>
      <c r="CH65" s="99">
        <v>10.3435834896811</v>
      </c>
      <c r="CI65" s="99">
        <v>10.3958677298311</v>
      </c>
      <c r="CJ65" s="99">
        <v>10.4481519699812</v>
      </c>
      <c r="CK65" s="99">
        <v>10.5004362101313</v>
      </c>
      <c r="CL65" s="99">
        <v>10.5527204502814</v>
      </c>
      <c r="CM65" s="99">
        <v>10.6050046904315</v>
      </c>
      <c r="CN65" s="99">
        <v>10.657288930581601</v>
      </c>
      <c r="CO65" s="99">
        <v>10.7095731707317</v>
      </c>
      <c r="CP65" s="99">
        <v>10.761857410881801</v>
      </c>
      <c r="CQ65" s="99">
        <v>10.8141416510319</v>
      </c>
      <c r="CR65" s="99">
        <v>10.866425891182001</v>
      </c>
      <c r="CS65" s="99">
        <v>10.9187101313321</v>
      </c>
      <c r="CT65" s="99">
        <v>10.970994371482201</v>
      </c>
      <c r="CU65" s="99">
        <v>11.0232786116323</v>
      </c>
      <c r="CV65" s="99">
        <v>11.075562851782401</v>
      </c>
      <c r="CW65" s="99">
        <v>11.1278470919325</v>
      </c>
      <c r="CX65" s="99">
        <v>11.180131332082601</v>
      </c>
      <c r="CY65" s="99">
        <v>11.2324155722327</v>
      </c>
      <c r="CZ65" s="99">
        <v>11.2846998123827</v>
      </c>
      <c r="DA65" s="99">
        <v>11.336984052532801</v>
      </c>
      <c r="DB65" s="99">
        <v>11.3892682926829</v>
      </c>
      <c r="DC65" s="99">
        <v>11.441552532833001</v>
      </c>
      <c r="DD65" s="99">
        <v>11.4938367729831</v>
      </c>
      <c r="DE65" s="99">
        <v>11.546121013133201</v>
      </c>
      <c r="DF65" s="99">
        <v>11.5984052532833</v>
      </c>
      <c r="DG65" s="99">
        <v>11.650689493433401</v>
      </c>
      <c r="DH65" s="99">
        <v>11.7029737335835</v>
      </c>
      <c r="DI65" s="99">
        <v>11.755257973733601</v>
      </c>
      <c r="DJ65" s="99">
        <v>11.8075422138837</v>
      </c>
      <c r="DK65" s="99">
        <v>11.859826454033801</v>
      </c>
      <c r="DL65" s="99">
        <v>11.9121106941839</v>
      </c>
      <c r="DM65" s="99">
        <v>11.964394934334001</v>
      </c>
      <c r="DN65" s="99">
        <v>12.0166791744841</v>
      </c>
      <c r="DO65" s="99">
        <v>12.068963414634201</v>
      </c>
      <c r="DP65" s="99">
        <v>12.121247654784201</v>
      </c>
      <c r="DQ65" s="99">
        <v>12.1735318949343</v>
      </c>
      <c r="DR65" s="99">
        <v>12.225816135084401</v>
      </c>
      <c r="DS65" s="99">
        <v>12.2781003752345</v>
      </c>
      <c r="DT65" s="99">
        <v>12.330384615384601</v>
      </c>
      <c r="DU65" s="99">
        <v>12.3826688555347</v>
      </c>
      <c r="DV65" s="99">
        <v>12.434953095684801</v>
      </c>
      <c r="DW65" s="99">
        <v>12.4872373358349</v>
      </c>
      <c r="DX65" s="99">
        <v>12.539521575985001</v>
      </c>
      <c r="DY65" s="99">
        <v>12.5918058161351</v>
      </c>
      <c r="DZ65" s="99">
        <v>12.644090056285201</v>
      </c>
      <c r="EA65" s="99">
        <v>12.6963742964353</v>
      </c>
      <c r="EB65" s="99">
        <v>12.748658536585401</v>
      </c>
      <c r="EC65" s="99">
        <v>12.8009427767355</v>
      </c>
      <c r="ED65" s="99">
        <v>12.853227016885601</v>
      </c>
      <c r="EE65" s="99">
        <v>12.9055112570357</v>
      </c>
      <c r="EF65" s="99">
        <v>12.9577954971857</v>
      </c>
      <c r="EG65" s="99">
        <v>13.010079737335801</v>
      </c>
      <c r="EH65" s="99">
        <v>13.0623639774859</v>
      </c>
      <c r="EI65" s="99">
        <v>13.114648217636001</v>
      </c>
      <c r="EJ65" s="99">
        <v>13.1669324577861</v>
      </c>
      <c r="EK65" s="99">
        <v>13.219216697936201</v>
      </c>
      <c r="EL65" s="99">
        <v>13.2715009380863</v>
      </c>
      <c r="EM65" s="99">
        <v>13.323785178236401</v>
      </c>
      <c r="EN65" s="99">
        <v>13.3760694183865</v>
      </c>
      <c r="EO65" s="99">
        <v>13.428353658536601</v>
      </c>
      <c r="EP65" s="99">
        <v>13.4806378986867</v>
      </c>
      <c r="EQ65" s="99">
        <v>13.532922138836801</v>
      </c>
      <c r="ER65" s="99">
        <v>13.5852063789869</v>
      </c>
      <c r="ES65" s="99">
        <v>13.637490619136999</v>
      </c>
      <c r="ET65" s="99">
        <v>13.6897748592871</v>
      </c>
      <c r="EU65" s="99">
        <v>13.742059099437199</v>
      </c>
      <c r="EV65" s="99">
        <v>13.794343339587201</v>
      </c>
      <c r="EW65" s="99">
        <v>13.8466275797373</v>
      </c>
      <c r="EX65" s="99">
        <v>13.898911819887401</v>
      </c>
      <c r="EY65" s="99">
        <v>13.9511960600375</v>
      </c>
      <c r="EZ65" s="99">
        <v>14.003480300187601</v>
      </c>
      <c r="FA65" s="99">
        <v>14.0557645403377</v>
      </c>
      <c r="FB65" s="99">
        <v>14.108048780487801</v>
      </c>
      <c r="FC65" s="99">
        <v>14.1603330206379</v>
      </c>
      <c r="FD65" s="99">
        <v>14.212617260788001</v>
      </c>
      <c r="FE65" s="99">
        <v>14.2649015009381</v>
      </c>
      <c r="FF65" s="99">
        <v>14.317185741088201</v>
      </c>
      <c r="FG65" s="99">
        <v>14.3694699812383</v>
      </c>
      <c r="FH65" s="99">
        <v>14.421754221388399</v>
      </c>
      <c r="FI65" s="99">
        <v>14.4740384615385</v>
      </c>
      <c r="FJ65" s="99">
        <v>14.526322701688599</v>
      </c>
      <c r="FK65" s="99">
        <v>14.5786069418387</v>
      </c>
      <c r="FL65" s="99">
        <v>14.6308911819887</v>
      </c>
      <c r="FM65" s="99">
        <v>14.683175422138801</v>
      </c>
      <c r="FN65" s="99">
        <v>14.7354596622889</v>
      </c>
      <c r="FO65" s="99">
        <v>14.787743902439001</v>
      </c>
      <c r="FP65" s="99">
        <v>14.8400281425891</v>
      </c>
      <c r="FQ65" s="99">
        <v>14.892312382739201</v>
      </c>
      <c r="FR65" s="99">
        <v>14.9445966228893</v>
      </c>
      <c r="FS65" s="99">
        <v>14.996880863039401</v>
      </c>
      <c r="FT65" s="99">
        <v>15.0491651031895</v>
      </c>
      <c r="FU65" s="99">
        <v>15.101449343339601</v>
      </c>
      <c r="FV65" s="99">
        <v>15.1537335834897</v>
      </c>
      <c r="FW65" s="99">
        <v>15.206017823639799</v>
      </c>
      <c r="FX65" s="99">
        <v>15.2583020637899</v>
      </c>
      <c r="FY65" s="99">
        <v>15.310586303939999</v>
      </c>
      <c r="FZ65" s="99">
        <v>15.3628705440901</v>
      </c>
      <c r="GA65" s="99">
        <v>15.415154784240199</v>
      </c>
      <c r="GB65" s="99">
        <v>15.467439024390201</v>
      </c>
      <c r="GC65" s="99">
        <v>15.5197232645403</v>
      </c>
      <c r="GD65" s="99">
        <v>15.572007504690401</v>
      </c>
      <c r="GE65" s="99">
        <v>15.6242917448405</v>
      </c>
      <c r="GF65" s="99">
        <v>15.676575984990601</v>
      </c>
      <c r="GG65" s="99">
        <v>15.7288602251407</v>
      </c>
      <c r="GH65" s="99">
        <v>15.781144465290801</v>
      </c>
      <c r="GI65" s="99">
        <v>15.8334287054409</v>
      </c>
      <c r="GJ65" s="99">
        <v>15.885712945590999</v>
      </c>
      <c r="GK65" s="99">
        <v>15.9379971857411</v>
      </c>
      <c r="GL65" s="99">
        <v>15.990281425891199</v>
      </c>
      <c r="GM65" s="99">
        <v>16.042565666041298</v>
      </c>
      <c r="GN65" s="99">
        <v>16.094849906191399</v>
      </c>
      <c r="GO65" s="99">
        <v>16.1471341463415</v>
      </c>
      <c r="GP65" s="99">
        <v>16.199418386491601</v>
      </c>
      <c r="GQ65" s="99">
        <v>16.251702626641698</v>
      </c>
      <c r="GR65" s="99">
        <v>16.303986866791799</v>
      </c>
      <c r="GS65" s="99">
        <v>16.3562711069419</v>
      </c>
      <c r="GT65" s="99">
        <v>16.408555347092001</v>
      </c>
      <c r="GU65" s="99">
        <v>16.460839587242099</v>
      </c>
      <c r="GV65" s="99">
        <v>16.513123827392199</v>
      </c>
      <c r="GW65" s="99">
        <v>16.565408067542201</v>
      </c>
      <c r="GX65" s="99">
        <v>16.617692307692302</v>
      </c>
      <c r="GY65" s="99">
        <v>16.669976547842399</v>
      </c>
      <c r="GZ65" s="99">
        <v>16.7222607879925</v>
      </c>
      <c r="HA65" s="99">
        <v>16.774545028142601</v>
      </c>
      <c r="HB65" s="99">
        <v>16.826829268292698</v>
      </c>
      <c r="HC65" s="99">
        <v>16.879113508442799</v>
      </c>
      <c r="HD65" s="99">
        <v>16.9313977485929</v>
      </c>
      <c r="HE65" s="99">
        <v>16.983681988743001</v>
      </c>
      <c r="HF65" s="99">
        <v>17.035966228893098</v>
      </c>
      <c r="HG65" s="99">
        <v>17.088250469043199</v>
      </c>
      <c r="HH65" s="99">
        <v>17.1405347091933</v>
      </c>
      <c r="HI65" s="99">
        <v>17.192818949343401</v>
      </c>
      <c r="HJ65" s="99">
        <v>17.245103189493499</v>
      </c>
      <c r="HK65" s="99">
        <v>17.297387429643599</v>
      </c>
      <c r="HL65" s="99">
        <v>17.3496716697937</v>
      </c>
      <c r="HM65" s="99">
        <v>17.401955909943698</v>
      </c>
      <c r="HN65" s="99">
        <v>17.454240150093799</v>
      </c>
      <c r="HO65" s="99">
        <v>17.5065243902439</v>
      </c>
      <c r="HP65" s="99">
        <v>17.558808630394001</v>
      </c>
      <c r="HQ65" s="99">
        <v>17.611092870544098</v>
      </c>
      <c r="HR65" s="99">
        <v>17.663377110694199</v>
      </c>
      <c r="HS65" s="99">
        <v>17.7156613508443</v>
      </c>
      <c r="HT65" s="99">
        <v>17.767945590994401</v>
      </c>
      <c r="HU65" s="99">
        <v>17.820229831144498</v>
      </c>
      <c r="HV65" s="99">
        <v>17.872514071294599</v>
      </c>
      <c r="HW65" s="99">
        <v>17.9247983114447</v>
      </c>
      <c r="HX65" s="99">
        <v>17.977082551594801</v>
      </c>
      <c r="HY65" s="99">
        <v>18.029366791744899</v>
      </c>
      <c r="HZ65" s="99">
        <v>18.081651031894999</v>
      </c>
      <c r="IA65" s="99">
        <v>18.1339352720451</v>
      </c>
      <c r="IB65" s="99">
        <v>18.186219512195201</v>
      </c>
      <c r="IC65" s="99">
        <v>18.238503752345199</v>
      </c>
      <c r="ID65" s="99">
        <v>18.2907879924953</v>
      </c>
      <c r="IE65" s="99">
        <v>18.343072232645401</v>
      </c>
      <c r="IF65" s="99">
        <v>18.395356472795498</v>
      </c>
      <c r="IG65" s="99">
        <v>18.447640712945599</v>
      </c>
      <c r="IH65" s="99">
        <v>18.4999249530957</v>
      </c>
      <c r="II65" s="99">
        <v>18.552209193245801</v>
      </c>
      <c r="IJ65" s="99">
        <v>18.604493433395898</v>
      </c>
      <c r="IK65" s="99">
        <v>18.656777673545999</v>
      </c>
      <c r="IL65" s="99">
        <v>18.7090619136961</v>
      </c>
      <c r="IM65" s="99">
        <v>18.761346153846201</v>
      </c>
      <c r="IN65" s="99">
        <v>18.813630393996299</v>
      </c>
      <c r="IO65" s="99">
        <v>18.865914634146399</v>
      </c>
      <c r="IP65" s="99">
        <v>18.9181988742965</v>
      </c>
      <c r="IQ65" s="99">
        <v>18.970483114446601</v>
      </c>
      <c r="IR65" s="99">
        <v>19.022767354596699</v>
      </c>
      <c r="IS65" s="99">
        <v>19.0750515947467</v>
      </c>
      <c r="IT65" s="99">
        <v>19.127335834896801</v>
      </c>
      <c r="IU65" s="99">
        <v>19.179620075046898</v>
      </c>
      <c r="IV65" s="99">
        <v>19.231904315196999</v>
      </c>
      <c r="IW65" s="99">
        <v>19.2841885553471</v>
      </c>
      <c r="IX65" s="99">
        <v>19.336472795497201</v>
      </c>
      <c r="IY65" s="99">
        <v>19.388757035647298</v>
      </c>
      <c r="IZ65" s="99">
        <v>19.441041275797399</v>
      </c>
      <c r="JA65" s="99">
        <v>19.4933255159475</v>
      </c>
      <c r="JB65" s="99">
        <v>19.545609756097601</v>
      </c>
      <c r="JC65" s="99">
        <v>19.597893996247699</v>
      </c>
      <c r="JD65" s="99">
        <v>19.650178236397799</v>
      </c>
      <c r="JE65" s="99">
        <v>19.7024624765479</v>
      </c>
      <c r="JF65" s="99">
        <v>19.754746716698001</v>
      </c>
      <c r="JG65" s="99">
        <v>19.807030956848099</v>
      </c>
      <c r="JH65" s="99">
        <v>19.8593151969982</v>
      </c>
      <c r="JI65" s="99">
        <v>19.911599437148201</v>
      </c>
      <c r="JJ65" s="99">
        <v>19.963883677298298</v>
      </c>
      <c r="JK65" s="99">
        <v>20.016167917448399</v>
      </c>
      <c r="JL65" s="99">
        <v>20.0684521575985</v>
      </c>
      <c r="JM65" s="99">
        <v>20.120736397748601</v>
      </c>
      <c r="JN65" s="99">
        <v>20.173020637898698</v>
      </c>
      <c r="JO65" s="99">
        <v>20.225304878048799</v>
      </c>
      <c r="JP65" s="99">
        <v>20.2775891181989</v>
      </c>
      <c r="JQ65" s="99">
        <v>20.329873358349001</v>
      </c>
      <c r="JR65" s="99">
        <v>20.382157598499099</v>
      </c>
      <c r="JS65" s="99">
        <v>20.434441838649199</v>
      </c>
      <c r="JT65" s="99">
        <v>20.4867260787993</v>
      </c>
      <c r="JU65" s="99">
        <v>20.539010318949401</v>
      </c>
      <c r="JV65" s="99">
        <v>20.591294559099499</v>
      </c>
      <c r="JW65" s="99">
        <v>20.6435787992496</v>
      </c>
      <c r="JX65" s="99">
        <v>20.695863039399701</v>
      </c>
      <c r="JY65" s="99">
        <v>20.748147279549698</v>
      </c>
      <c r="JZ65" s="99">
        <v>20.800431519699799</v>
      </c>
      <c r="KA65" s="99">
        <v>20.8527157598499</v>
      </c>
      <c r="KB65" s="99">
        <v>20.905000000000001</v>
      </c>
      <c r="KC65" s="99">
        <v>20.957284240150098</v>
      </c>
      <c r="KD65" s="99">
        <v>21.009568480300199</v>
      </c>
      <c r="KE65" s="99">
        <v>21.0618527204503</v>
      </c>
      <c r="KF65" s="99">
        <v>21.114136960600401</v>
      </c>
      <c r="KG65" s="99">
        <v>21.166421200750499</v>
      </c>
      <c r="KH65" s="99">
        <v>21.2187054409006</v>
      </c>
      <c r="KI65" s="99">
        <v>21.2709896810507</v>
      </c>
      <c r="KJ65" s="99">
        <v>21.323273921200801</v>
      </c>
      <c r="KK65" s="99">
        <v>21.375558161350899</v>
      </c>
      <c r="KL65" s="99">
        <v>21.427842401501</v>
      </c>
      <c r="KM65" s="99">
        <v>21.480126641651101</v>
      </c>
      <c r="KN65" s="99">
        <v>21.532410881801201</v>
      </c>
      <c r="KO65" s="99">
        <v>21.584695121951299</v>
      </c>
      <c r="KP65" s="99">
        <v>21.6369793621013</v>
      </c>
      <c r="KQ65" s="99">
        <v>21.689263602251401</v>
      </c>
      <c r="KR65" s="99">
        <v>21.741547842401499</v>
      </c>
      <c r="KS65" s="99">
        <v>21.793832082551599</v>
      </c>
      <c r="KT65" s="99">
        <v>21.8461163227017</v>
      </c>
      <c r="KU65" s="99">
        <v>21.898400562851801</v>
      </c>
      <c r="KV65" s="99">
        <v>21.950684803001899</v>
      </c>
      <c r="KW65" s="99">
        <v>22.002969043152</v>
      </c>
      <c r="KX65" s="99">
        <v>22.0552532833021</v>
      </c>
      <c r="KY65" s="99">
        <v>22.107537523452201</v>
      </c>
      <c r="KZ65" s="99">
        <v>22.159821763602299</v>
      </c>
      <c r="LA65" s="99">
        <v>22.2121060037524</v>
      </c>
      <c r="LB65" s="99">
        <v>22.264390243902501</v>
      </c>
      <c r="LC65" s="99">
        <v>22.316674484052601</v>
      </c>
      <c r="LD65" s="99">
        <v>22.368958724202699</v>
      </c>
      <c r="LE65" s="99">
        <v>22.4212429643528</v>
      </c>
      <c r="LF65" s="99">
        <v>22.473527204502801</v>
      </c>
      <c r="LG65" s="99">
        <v>22.525811444652899</v>
      </c>
      <c r="LH65" s="99">
        <v>22.578095684802999</v>
      </c>
      <c r="LI65" s="99">
        <v>22.6303799249531</v>
      </c>
      <c r="LJ65" s="99">
        <v>22.682664165103201</v>
      </c>
      <c r="LK65" s="99">
        <v>22.734948405253299</v>
      </c>
      <c r="LL65" s="99">
        <v>22.7872326454034</v>
      </c>
      <c r="LM65" s="99">
        <v>22.8395168855535</v>
      </c>
      <c r="LN65" s="99">
        <v>22.891801125703601</v>
      </c>
      <c r="LO65" s="99">
        <v>22.944085365853699</v>
      </c>
      <c r="LP65" s="99">
        <v>22.9963696060038</v>
      </c>
      <c r="LQ65" s="99">
        <v>23.048653846153901</v>
      </c>
      <c r="LR65" s="99">
        <v>23.100938086304001</v>
      </c>
      <c r="LS65" s="99">
        <v>23.153222326454099</v>
      </c>
      <c r="LT65" s="99">
        <v>23.2055065666042</v>
      </c>
      <c r="LU65" s="99">
        <v>23.257790806754301</v>
      </c>
      <c r="LV65" s="99">
        <v>23.310075046904299</v>
      </c>
      <c r="LW65" s="99">
        <v>23.362359287054399</v>
      </c>
      <c r="LX65" s="99">
        <v>23.4146435272045</v>
      </c>
      <c r="LY65" s="99">
        <v>23.466927767354601</v>
      </c>
      <c r="LZ65" s="99">
        <v>23.519212007504699</v>
      </c>
      <c r="MA65" s="99">
        <v>23.5714962476548</v>
      </c>
      <c r="MB65" s="99">
        <v>23.6237804878049</v>
      </c>
      <c r="MC65" s="99">
        <v>23.676064727955001</v>
      </c>
      <c r="MD65" s="99">
        <v>23.728348968105099</v>
      </c>
      <c r="ME65" s="99">
        <v>23.7806332082552</v>
      </c>
      <c r="MF65" s="99">
        <v>23.832917448405301</v>
      </c>
      <c r="MG65" s="99">
        <v>23.885201688555401</v>
      </c>
      <c r="MH65" s="99">
        <v>23.937485928705499</v>
      </c>
      <c r="MI65" s="99">
        <v>23.9897701688556</v>
      </c>
      <c r="MJ65" s="99">
        <v>24.042054409005701</v>
      </c>
      <c r="MK65" s="99">
        <v>24.094338649155802</v>
      </c>
      <c r="ML65" s="99">
        <v>24.146622889305799</v>
      </c>
      <c r="MM65" s="99">
        <v>24.1989071294559</v>
      </c>
      <c r="MN65" s="99">
        <v>24.251191369606001</v>
      </c>
      <c r="MO65" s="99">
        <v>24.303475609756099</v>
      </c>
      <c r="MP65" s="99">
        <v>24.3557598499062</v>
      </c>
      <c r="MQ65" s="99">
        <v>24.4080440900563</v>
      </c>
      <c r="MR65" s="99">
        <v>24.460328330206401</v>
      </c>
      <c r="MS65" s="99">
        <v>24.512612570356499</v>
      </c>
      <c r="MT65" s="99">
        <v>24.5648968105066</v>
      </c>
      <c r="MU65" s="99">
        <v>24.617181050656701</v>
      </c>
      <c r="MV65" s="99">
        <v>24.669465290806802</v>
      </c>
      <c r="MW65" s="99">
        <v>24.721749530956899</v>
      </c>
      <c r="MX65" s="99">
        <v>24.774033771107</v>
      </c>
      <c r="MY65" s="99">
        <v>24.826318011257101</v>
      </c>
      <c r="MZ65" s="99">
        <v>24.878602251407202</v>
      </c>
      <c r="NA65" s="99">
        <v>24.930886491557299</v>
      </c>
      <c r="NB65" s="99">
        <v>24.9831707317073</v>
      </c>
      <c r="NC65" s="99">
        <v>25.035454971857401</v>
      </c>
      <c r="ND65" s="99">
        <v>25.087739212007499</v>
      </c>
      <c r="NE65" s="99">
        <v>25.1400234521576</v>
      </c>
      <c r="NF65" s="99">
        <v>25.192307692307701</v>
      </c>
      <c r="NG65" s="99">
        <v>25.244591932457801</v>
      </c>
      <c r="NH65" s="99">
        <v>25.296876172607899</v>
      </c>
      <c r="NI65" s="99">
        <v>25.349160412758</v>
      </c>
      <c r="NJ65" s="99">
        <v>25.401444652908101</v>
      </c>
      <c r="NK65" s="99">
        <v>25.453728893058202</v>
      </c>
      <c r="NL65" s="99">
        <v>25.506013133208299</v>
      </c>
      <c r="NM65" s="99">
        <v>25.5582973733584</v>
      </c>
      <c r="NN65" s="99">
        <v>25.610581613508501</v>
      </c>
      <c r="NO65" s="99">
        <v>25.662865853658602</v>
      </c>
      <c r="NP65" s="99">
        <v>25.715150093808699</v>
      </c>
      <c r="NQ65" s="99">
        <v>25.7674343339588</v>
      </c>
      <c r="NR65" s="99">
        <v>25.819718574108901</v>
      </c>
      <c r="NS65" s="99">
        <v>25.872002814258899</v>
      </c>
      <c r="NT65" s="99">
        <v>25.924287054409</v>
      </c>
      <c r="NU65" s="99">
        <v>25.976571294559101</v>
      </c>
      <c r="NV65" s="99">
        <v>26.028855534709201</v>
      </c>
      <c r="NW65" s="99">
        <v>26.081139774859299</v>
      </c>
      <c r="NX65" s="99">
        <v>26.1334240150094</v>
      </c>
      <c r="NY65" s="99">
        <v>26.185708255159501</v>
      </c>
      <c r="NZ65" s="99">
        <v>26.237992495309602</v>
      </c>
      <c r="OA65" s="99">
        <v>26.290276735459699</v>
      </c>
      <c r="OB65" s="99">
        <v>26.3425609756098</v>
      </c>
      <c r="OC65" s="99">
        <v>26.394845215759901</v>
      </c>
      <c r="OD65" s="99">
        <v>26.447129455910002</v>
      </c>
      <c r="OE65" s="99">
        <v>26.499413696060099</v>
      </c>
      <c r="OF65" s="99">
        <v>26.5516979362102</v>
      </c>
      <c r="OG65" s="99">
        <v>26.603982176360301</v>
      </c>
      <c r="OH65" s="99">
        <v>26.656266416510402</v>
      </c>
      <c r="OI65" s="99">
        <v>26.7085506566604</v>
      </c>
      <c r="OJ65" s="99">
        <v>26.760834896810501</v>
      </c>
      <c r="OK65" s="99">
        <v>26.813119136960601</v>
      </c>
      <c r="OL65" s="99">
        <v>26.865403377110699</v>
      </c>
      <c r="OM65" s="99">
        <v>26.9176876172608</v>
      </c>
      <c r="ON65" s="99">
        <v>26.969971857410901</v>
      </c>
      <c r="OO65" s="99">
        <v>27.022256097561002</v>
      </c>
      <c r="OP65" s="99">
        <v>27.074540337711099</v>
      </c>
      <c r="OQ65" s="99">
        <v>27.1268245778612</v>
      </c>
      <c r="OR65" s="99">
        <v>27.179108818011301</v>
      </c>
      <c r="OS65" s="99">
        <v>27.231393058161402</v>
      </c>
      <c r="OT65" s="99">
        <v>27.283677298311499</v>
      </c>
      <c r="OU65" s="99">
        <v>27.3359615384616</v>
      </c>
      <c r="OV65" s="99">
        <v>27.388245778611701</v>
      </c>
      <c r="OW65" s="99">
        <v>27.440530018761802</v>
      </c>
      <c r="OX65" s="99">
        <v>27.492814258911899</v>
      </c>
      <c r="OY65" s="99">
        <v>27.545098499061901</v>
      </c>
      <c r="OZ65" s="99">
        <v>27.597382739212001</v>
      </c>
      <c r="PA65" s="99">
        <v>27.649666979362099</v>
      </c>
      <c r="PB65" s="99">
        <v>27.7019512195122</v>
      </c>
      <c r="PC65" s="99">
        <v>27.754235459662301</v>
      </c>
      <c r="PD65" s="99">
        <v>27.806519699812402</v>
      </c>
      <c r="PE65" s="99">
        <v>27.858803939962499</v>
      </c>
      <c r="PF65" s="99">
        <v>27.9110881801126</v>
      </c>
      <c r="PG65" s="99">
        <v>27.963372420262701</v>
      </c>
      <c r="PH65" s="99">
        <v>28.015656660412802</v>
      </c>
      <c r="PI65" s="99">
        <v>28.067940900562899</v>
      </c>
      <c r="PJ65" s="99">
        <v>28.120225140713</v>
      </c>
      <c r="PK65" s="99">
        <v>28.172509380863101</v>
      </c>
      <c r="PL65" s="99">
        <v>28.224793621013202</v>
      </c>
      <c r="PM65" s="99">
        <v>28.277077861163299</v>
      </c>
      <c r="PN65" s="99">
        <v>28.3293621013134</v>
      </c>
      <c r="PO65" s="99">
        <v>28.381646341463401</v>
      </c>
      <c r="PP65" s="99">
        <v>28.433930581613499</v>
      </c>
      <c r="PQ65" s="99">
        <v>28.4862148217636</v>
      </c>
      <c r="PR65" s="99">
        <v>28.538499061913701</v>
      </c>
      <c r="PS65" s="99">
        <v>28.590783302063802</v>
      </c>
      <c r="PT65" s="99">
        <v>28.643067542213899</v>
      </c>
      <c r="PU65" s="99">
        <v>28.695351782364</v>
      </c>
      <c r="PV65" s="99">
        <v>28.747636022514101</v>
      </c>
      <c r="PW65" s="99">
        <v>28.799920262664202</v>
      </c>
      <c r="PX65" s="99">
        <v>28.852204502814299</v>
      </c>
      <c r="PY65" s="99">
        <v>28.9044887429644</v>
      </c>
      <c r="PZ65" s="99">
        <v>28.956772983114501</v>
      </c>
      <c r="QA65" s="99">
        <v>29.009057223264598</v>
      </c>
      <c r="QB65" s="99">
        <v>29.061341463414699</v>
      </c>
      <c r="QC65" s="99">
        <v>29.1136257035648</v>
      </c>
      <c r="QD65" s="99">
        <v>29.165909943714901</v>
      </c>
      <c r="QE65" s="99">
        <v>29.218194183864899</v>
      </c>
      <c r="QF65" s="99">
        <v>29.270478424015</v>
      </c>
      <c r="QG65" s="99">
        <v>29.322762664165101</v>
      </c>
      <c r="QH65" s="99">
        <v>29.375046904315202</v>
      </c>
      <c r="QI65" s="99">
        <v>29.427331144465299</v>
      </c>
      <c r="QJ65" s="99">
        <v>29.4796153846154</v>
      </c>
      <c r="QK65" s="99">
        <v>29.531899624765501</v>
      </c>
      <c r="QL65" s="99">
        <v>29.584183864915602</v>
      </c>
      <c r="QM65" s="99">
        <v>29.636468105065699</v>
      </c>
      <c r="QN65" s="99">
        <v>29.6887523452158</v>
      </c>
      <c r="QO65" s="99">
        <v>29.741036585365901</v>
      </c>
      <c r="QP65" s="99">
        <v>29.793320825515998</v>
      </c>
      <c r="QQ65" s="99">
        <v>29.845605065666099</v>
      </c>
      <c r="QR65" s="99">
        <v>29.8978893058162</v>
      </c>
      <c r="QS65" s="99">
        <v>29.950173545966301</v>
      </c>
      <c r="QT65" s="99">
        <v>30.002457786116398</v>
      </c>
      <c r="QU65" s="99">
        <v>30.0547420262664</v>
      </c>
      <c r="QV65" s="99">
        <v>30.107026266416501</v>
      </c>
      <c r="QW65" s="99">
        <v>30.159310506566602</v>
      </c>
      <c r="QX65" s="99">
        <v>30.211594746716699</v>
      </c>
      <c r="QY65" s="99">
        <v>30.2638789868668</v>
      </c>
      <c r="QZ65" s="99">
        <v>30.316163227016901</v>
      </c>
      <c r="RA65" s="99">
        <v>30.368447467167002</v>
      </c>
      <c r="RB65" s="99">
        <v>30.420731707317099</v>
      </c>
      <c r="RC65" s="99">
        <v>30.4730159474672</v>
      </c>
      <c r="RD65" s="99">
        <v>30.525300187617301</v>
      </c>
      <c r="RE65" s="99">
        <v>30.577584427767398</v>
      </c>
      <c r="RF65" s="99">
        <v>30.629868667917499</v>
      </c>
      <c r="RG65" s="99">
        <v>30.6821529080676</v>
      </c>
      <c r="RH65" s="99">
        <v>30.734437148217701</v>
      </c>
      <c r="RI65" s="99">
        <v>30.786721388367798</v>
      </c>
      <c r="RJ65" s="99">
        <v>30.839005628517899</v>
      </c>
      <c r="RK65" s="99">
        <v>30.891289868668</v>
      </c>
      <c r="RL65" s="99">
        <v>30.943574108818002</v>
      </c>
      <c r="RM65" s="99">
        <v>30.995858348968099</v>
      </c>
      <c r="RN65" s="99">
        <v>31.0481425891182</v>
      </c>
      <c r="RO65" s="99">
        <v>31.100426829268301</v>
      </c>
      <c r="RP65" s="99">
        <v>31.152711069418402</v>
      </c>
      <c r="RQ65" s="99">
        <v>31.204995309568499</v>
      </c>
      <c r="RR65" s="99">
        <v>31.2572795497186</v>
      </c>
      <c r="RS65" s="99">
        <v>31.309563789868701</v>
      </c>
      <c r="RT65" s="99">
        <v>31.361848030018798</v>
      </c>
      <c r="RU65" s="99">
        <v>31.414132270168899</v>
      </c>
      <c r="RV65" s="99">
        <v>31.466416510319</v>
      </c>
      <c r="RW65" s="99">
        <v>31.518700750469101</v>
      </c>
      <c r="RX65" s="99">
        <v>31.570984990619198</v>
      </c>
      <c r="RY65" s="99">
        <v>31.623269230769299</v>
      </c>
      <c r="RZ65" s="99">
        <v>31.6755534709194</v>
      </c>
      <c r="SA65" s="99">
        <v>31.727837711069501</v>
      </c>
      <c r="SB65" s="99">
        <v>31.780121951219499</v>
      </c>
      <c r="SC65" s="99">
        <v>31.8324061913696</v>
      </c>
      <c r="SD65" s="99">
        <v>31.884690431519701</v>
      </c>
      <c r="SE65" s="99">
        <v>31.936974671669802</v>
      </c>
      <c r="SF65" s="99">
        <v>31.989258911819899</v>
      </c>
      <c r="SG65" s="99">
        <v>32.041543151969996</v>
      </c>
      <c r="SH65" s="99">
        <v>32.093827392120097</v>
      </c>
      <c r="SI65" s="99">
        <v>32.146111632270198</v>
      </c>
      <c r="SJ65" s="99">
        <v>32.198395872420299</v>
      </c>
      <c r="SK65" s="99">
        <v>32.2506801125704</v>
      </c>
      <c r="SL65" s="99">
        <v>32.302964352720501</v>
      </c>
      <c r="SM65" s="99">
        <v>32.355248592870602</v>
      </c>
      <c r="SN65" s="99">
        <v>32.407532833020703</v>
      </c>
      <c r="SO65" s="99">
        <v>32.459817073170797</v>
      </c>
      <c r="SP65" s="99">
        <v>32.512101313320898</v>
      </c>
      <c r="SQ65" s="99">
        <v>32.564385553470999</v>
      </c>
      <c r="SR65" s="99">
        <v>32.616669793621</v>
      </c>
      <c r="SS65" s="99">
        <v>32.668954033771101</v>
      </c>
      <c r="ST65" s="99">
        <v>32.721238273921202</v>
      </c>
      <c r="SU65" s="99">
        <v>32.773522514071303</v>
      </c>
      <c r="SV65" s="99">
        <v>32.825806754221396</v>
      </c>
      <c r="SW65" s="99">
        <v>32.878090994371497</v>
      </c>
      <c r="SX65" s="99">
        <v>32.930375234521598</v>
      </c>
      <c r="SY65" s="99">
        <v>32.982659474671699</v>
      </c>
      <c r="SZ65" s="99">
        <v>33.0349437148218</v>
      </c>
      <c r="TA65" s="99">
        <v>33.087227954971901</v>
      </c>
      <c r="TB65" s="99">
        <v>33.139512195122002</v>
      </c>
      <c r="TC65" s="99">
        <v>33.191796435272103</v>
      </c>
      <c r="TD65" s="99">
        <v>33.244080675422197</v>
      </c>
      <c r="TE65" s="99">
        <v>33.296364915572298</v>
      </c>
      <c r="TF65" s="99">
        <v>33.348649155722399</v>
      </c>
      <c r="TG65" s="99">
        <v>33.400933395872499</v>
      </c>
      <c r="TH65" s="99">
        <v>33.453217636022501</v>
      </c>
      <c r="TI65" s="99">
        <v>33.505501876172602</v>
      </c>
      <c r="TJ65" s="99">
        <v>33.557786116322703</v>
      </c>
      <c r="TK65" s="99">
        <v>33.610070356472797</v>
      </c>
      <c r="TL65" s="99">
        <v>33.662354596622897</v>
      </c>
      <c r="TM65" s="99">
        <v>33.714638836772998</v>
      </c>
      <c r="TN65" s="99">
        <v>33.766923076923099</v>
      </c>
      <c r="TO65" s="99">
        <v>33.8192073170732</v>
      </c>
      <c r="TP65" s="99">
        <v>33.871491557223301</v>
      </c>
      <c r="TQ65" s="99">
        <v>33.923775797373402</v>
      </c>
      <c r="TR65" s="99">
        <v>33.976060037523503</v>
      </c>
      <c r="TS65" s="99">
        <v>34.028344277673597</v>
      </c>
      <c r="TT65" s="99">
        <v>34.080628517823698</v>
      </c>
      <c r="TU65" s="99">
        <v>34.132912757973799</v>
      </c>
      <c r="TV65" s="99">
        <v>34.185196998123899</v>
      </c>
      <c r="TW65" s="99">
        <v>34.237481238274</v>
      </c>
      <c r="TX65" s="99">
        <v>34.289765478424002</v>
      </c>
      <c r="TY65" s="99">
        <v>34.342049718574103</v>
      </c>
      <c r="TZ65" s="99">
        <v>34.394333958724197</v>
      </c>
      <c r="UA65" s="99">
        <v>34.446618198874297</v>
      </c>
      <c r="UB65" s="99">
        <v>34.498902439024398</v>
      </c>
      <c r="UC65" s="99">
        <v>34.551186679174499</v>
      </c>
      <c r="UD65" s="99">
        <v>34.6034709193246</v>
      </c>
      <c r="UE65" s="99">
        <v>34.655755159474701</v>
      </c>
      <c r="UF65" s="99">
        <v>34.708039399624802</v>
      </c>
      <c r="UG65" s="99">
        <v>34.760323639774903</v>
      </c>
      <c r="UH65" s="99">
        <v>34.812607879924997</v>
      </c>
      <c r="UI65" s="99">
        <v>34.864892120075098</v>
      </c>
      <c r="UJ65" s="99">
        <v>34.917176360225199</v>
      </c>
      <c r="UK65" s="99">
        <v>34.969460600375299</v>
      </c>
      <c r="UL65" s="99">
        <v>35.0217448405254</v>
      </c>
      <c r="UM65" s="99">
        <v>35.074029080675501</v>
      </c>
      <c r="UN65" s="99">
        <v>35.126313320825503</v>
      </c>
      <c r="UO65" s="99">
        <v>35.178597560975597</v>
      </c>
      <c r="UP65" s="99">
        <v>35.230881801125697</v>
      </c>
      <c r="UQ65" s="99">
        <v>35.283166041275798</v>
      </c>
      <c r="UR65" s="99">
        <v>35.335450281425899</v>
      </c>
      <c r="US65" s="99">
        <v>35.3877345215761</v>
      </c>
      <c r="UT65" s="99">
        <v>35.440018761726201</v>
      </c>
    </row>
    <row r="66" spans="1:566" x14ac:dyDescent="0.2">
      <c r="A66" s="89">
        <v>30</v>
      </c>
      <c r="B66" s="90">
        <v>5.9</v>
      </c>
      <c r="C66" s="90">
        <v>5.95</v>
      </c>
      <c r="D66" s="90">
        <v>6</v>
      </c>
      <c r="E66" s="90">
        <v>6.05</v>
      </c>
      <c r="F66" s="90">
        <v>6.11</v>
      </c>
      <c r="G66" s="90">
        <v>6.16</v>
      </c>
      <c r="H66" s="90">
        <v>6.21</v>
      </c>
      <c r="I66" s="90">
        <v>6.26</v>
      </c>
      <c r="J66" s="90">
        <v>6.31</v>
      </c>
      <c r="K66" s="90">
        <v>6.37</v>
      </c>
      <c r="L66" s="90">
        <v>6.42</v>
      </c>
      <c r="M66" s="90">
        <v>6.47</v>
      </c>
      <c r="N66" s="90">
        <v>6.52</v>
      </c>
      <c r="O66" s="90">
        <v>6.57</v>
      </c>
      <c r="P66" s="90">
        <v>6.63</v>
      </c>
      <c r="Q66" s="90">
        <v>6.68</v>
      </c>
      <c r="R66" s="90">
        <v>6.73</v>
      </c>
      <c r="S66" s="90">
        <v>6.78</v>
      </c>
      <c r="T66" s="90">
        <v>6.83</v>
      </c>
      <c r="U66" s="91">
        <v>6.88</v>
      </c>
      <c r="V66" s="90">
        <v>6.94</v>
      </c>
      <c r="W66" s="90">
        <v>6.99</v>
      </c>
      <c r="X66" s="90">
        <v>7.04</v>
      </c>
      <c r="Y66" s="90">
        <v>7.09</v>
      </c>
      <c r="Z66" s="90">
        <v>7.14</v>
      </c>
      <c r="AA66" s="90">
        <v>7.2</v>
      </c>
      <c r="AB66" s="90">
        <v>7.25</v>
      </c>
      <c r="AC66" s="90">
        <v>7.3</v>
      </c>
      <c r="AD66" s="90">
        <v>7.35</v>
      </c>
      <c r="AE66" s="90">
        <v>7.4</v>
      </c>
      <c r="AF66" s="90">
        <v>7.46</v>
      </c>
      <c r="AG66" s="90">
        <v>7.51</v>
      </c>
      <c r="AH66" s="90">
        <v>7.56</v>
      </c>
      <c r="AI66" s="90">
        <v>7.61</v>
      </c>
      <c r="AJ66" s="90">
        <v>7.66</v>
      </c>
      <c r="AK66" s="90">
        <v>7.71</v>
      </c>
      <c r="AL66" s="90">
        <v>7.77</v>
      </c>
      <c r="AM66" s="90">
        <v>7.82</v>
      </c>
      <c r="AN66" s="90">
        <v>7.87</v>
      </c>
      <c r="AO66" s="91">
        <v>7.92</v>
      </c>
      <c r="AP66" s="90">
        <v>7.97407692307692</v>
      </c>
      <c r="AQ66" s="90">
        <v>8.0259587242026296</v>
      </c>
      <c r="AR66" s="90">
        <v>8.0778405253283303</v>
      </c>
      <c r="AS66" s="90">
        <v>8.1297223264540293</v>
      </c>
      <c r="AT66" s="90">
        <v>8.1816041275797406</v>
      </c>
      <c r="AU66" s="90">
        <v>8.2334859287054396</v>
      </c>
      <c r="AV66" s="90">
        <v>8.2853677298311403</v>
      </c>
      <c r="AW66" s="90">
        <v>8.33724953095685</v>
      </c>
      <c r="AX66" s="90">
        <v>8.3891313320825507</v>
      </c>
      <c r="AY66" s="90">
        <v>8.4410131332082496</v>
      </c>
      <c r="AZ66" s="90">
        <v>8.4928949343339593</v>
      </c>
      <c r="BA66" s="90">
        <v>8.54477673545966</v>
      </c>
      <c r="BB66" s="90">
        <v>8.5966585365853696</v>
      </c>
      <c r="BC66" s="90">
        <v>8.6485403377110703</v>
      </c>
      <c r="BD66" s="90">
        <v>8.7004221388367693</v>
      </c>
      <c r="BE66" s="90">
        <v>8.7523039399624807</v>
      </c>
      <c r="BF66" s="90">
        <v>8.8041857410881796</v>
      </c>
      <c r="BG66" s="90">
        <v>8.8560675422138804</v>
      </c>
      <c r="BH66" s="90">
        <v>8.90794934333959</v>
      </c>
      <c r="BI66" s="91">
        <v>8.9598311444652907</v>
      </c>
      <c r="BJ66" s="90">
        <v>9.0117129455909897</v>
      </c>
      <c r="BK66" s="99">
        <v>9.0635947467166993</v>
      </c>
      <c r="BL66" s="99">
        <v>9.1154765478424</v>
      </c>
      <c r="BM66" s="99">
        <v>9.1673583489681008</v>
      </c>
      <c r="BN66" s="99">
        <v>9.2192401500938104</v>
      </c>
      <c r="BO66" s="99">
        <v>9.2711219512195093</v>
      </c>
      <c r="BP66" s="99">
        <v>9.3230037523452101</v>
      </c>
      <c r="BQ66" s="99">
        <v>9.3748855534709197</v>
      </c>
      <c r="BR66" s="99">
        <v>9.4267673545966204</v>
      </c>
      <c r="BS66" s="99">
        <v>9.47864915572233</v>
      </c>
      <c r="BT66" s="99">
        <v>9.5305309568480308</v>
      </c>
      <c r="BU66" s="99">
        <v>9.5824127579737297</v>
      </c>
      <c r="BV66" s="99">
        <v>9.6342945590994393</v>
      </c>
      <c r="BW66" s="99">
        <v>9.6861763602251401</v>
      </c>
      <c r="BX66" s="99">
        <v>9.7380581613508408</v>
      </c>
      <c r="BY66" s="99">
        <v>9.7899399624765504</v>
      </c>
      <c r="BZ66" s="99">
        <v>9.8418217636022494</v>
      </c>
      <c r="CA66" s="99">
        <v>9.8937035647279501</v>
      </c>
      <c r="CB66" s="99">
        <v>9.9455853658536597</v>
      </c>
      <c r="CC66" s="99">
        <v>9.9974671669793604</v>
      </c>
      <c r="CD66" s="99">
        <v>10.0493489681051</v>
      </c>
      <c r="CE66" s="99">
        <v>10.101230769230799</v>
      </c>
      <c r="CF66" s="99">
        <v>10.1531125703565</v>
      </c>
      <c r="CG66" s="99">
        <v>10.204994371482201</v>
      </c>
      <c r="CH66" s="99">
        <v>10.2568761726079</v>
      </c>
      <c r="CI66" s="99">
        <v>10.3087579737336</v>
      </c>
      <c r="CJ66" s="99">
        <v>10.360639774859299</v>
      </c>
      <c r="CK66" s="99">
        <v>10.412521575985</v>
      </c>
      <c r="CL66" s="99">
        <v>10.464403377110701</v>
      </c>
      <c r="CM66" s="99">
        <v>10.5162851782364</v>
      </c>
      <c r="CN66" s="99">
        <v>10.5681669793621</v>
      </c>
      <c r="CO66" s="99">
        <v>10.620048780487799</v>
      </c>
      <c r="CP66" s="99">
        <v>10.6719305816135</v>
      </c>
      <c r="CQ66" s="99">
        <v>10.723812382739199</v>
      </c>
      <c r="CR66" s="99">
        <v>10.7756941838649</v>
      </c>
      <c r="CS66" s="99">
        <v>10.827575984990601</v>
      </c>
      <c r="CT66" s="99">
        <v>10.8794577861163</v>
      </c>
      <c r="CU66" s="99">
        <v>10.931339587242</v>
      </c>
      <c r="CV66" s="99">
        <v>10.983221388367699</v>
      </c>
      <c r="CW66" s="99">
        <v>11.0351031894934</v>
      </c>
      <c r="CX66" s="99">
        <v>11.086984990619101</v>
      </c>
      <c r="CY66" s="99">
        <v>11.1388667917448</v>
      </c>
      <c r="CZ66" s="99">
        <v>11.1907485928705</v>
      </c>
      <c r="DA66" s="99">
        <v>11.242630393996301</v>
      </c>
      <c r="DB66" s="99">
        <v>11.294512195122</v>
      </c>
      <c r="DC66" s="99">
        <v>11.3463939962477</v>
      </c>
      <c r="DD66" s="99">
        <v>11.398275797373399</v>
      </c>
      <c r="DE66" s="99">
        <v>11.4501575984991</v>
      </c>
      <c r="DF66" s="99">
        <v>11.502039399624801</v>
      </c>
      <c r="DG66" s="99">
        <v>11.5539212007505</v>
      </c>
      <c r="DH66" s="99">
        <v>11.6058030018762</v>
      </c>
      <c r="DI66" s="99">
        <v>11.657684803001899</v>
      </c>
      <c r="DJ66" s="99">
        <v>11.7095666041276</v>
      </c>
      <c r="DK66" s="99">
        <v>11.761448405253301</v>
      </c>
      <c r="DL66" s="99">
        <v>11.813330206379</v>
      </c>
      <c r="DM66" s="99">
        <v>11.865212007504701</v>
      </c>
      <c r="DN66" s="99">
        <v>11.917093808630399</v>
      </c>
      <c r="DO66" s="99">
        <v>11.9689756097561</v>
      </c>
      <c r="DP66" s="99">
        <v>12.020857410881799</v>
      </c>
      <c r="DQ66" s="99">
        <v>12.0727392120075</v>
      </c>
      <c r="DR66" s="99">
        <v>12.124621013133201</v>
      </c>
      <c r="DS66" s="99">
        <v>12.1765028142589</v>
      </c>
      <c r="DT66" s="99">
        <v>12.2283846153846</v>
      </c>
      <c r="DU66" s="99">
        <v>12.280266416510299</v>
      </c>
      <c r="DV66" s="99">
        <v>12.332148217636</v>
      </c>
      <c r="DW66" s="99">
        <v>12.384030018761701</v>
      </c>
      <c r="DX66" s="99">
        <v>12.4359118198874</v>
      </c>
      <c r="DY66" s="99">
        <v>12.4877936210131</v>
      </c>
      <c r="DZ66" s="99">
        <v>12.539675422138799</v>
      </c>
      <c r="EA66" s="99">
        <v>12.5915572232645</v>
      </c>
      <c r="EB66" s="99">
        <v>12.643439024390201</v>
      </c>
      <c r="EC66" s="99">
        <v>12.695320825515999</v>
      </c>
      <c r="ED66" s="99">
        <v>12.7472026266417</v>
      </c>
      <c r="EE66" s="99">
        <v>12.799084427767401</v>
      </c>
      <c r="EF66" s="99">
        <v>12.8509662288931</v>
      </c>
      <c r="EG66" s="99">
        <v>12.9028480300188</v>
      </c>
      <c r="EH66" s="99">
        <v>12.954729831144499</v>
      </c>
      <c r="EI66" s="99">
        <v>13.0066116322702</v>
      </c>
      <c r="EJ66" s="99">
        <v>13.058493433395901</v>
      </c>
      <c r="EK66" s="99">
        <v>13.1103752345216</v>
      </c>
      <c r="EL66" s="99">
        <v>13.162257035647301</v>
      </c>
      <c r="EM66" s="99">
        <v>13.214138836772999</v>
      </c>
      <c r="EN66" s="99">
        <v>13.2660206378987</v>
      </c>
      <c r="EO66" s="99">
        <v>13.317902439024399</v>
      </c>
      <c r="EP66" s="99">
        <v>13.3697842401501</v>
      </c>
      <c r="EQ66" s="99">
        <v>13.421666041275801</v>
      </c>
      <c r="ER66" s="99">
        <v>13.4735478424015</v>
      </c>
      <c r="ES66" s="99">
        <v>13.5254296435272</v>
      </c>
      <c r="ET66" s="99">
        <v>13.577311444652899</v>
      </c>
      <c r="EU66" s="99">
        <v>13.6291932457786</v>
      </c>
      <c r="EV66" s="99">
        <v>13.681075046904301</v>
      </c>
      <c r="EW66" s="99">
        <v>13.73295684803</v>
      </c>
      <c r="EX66" s="99">
        <v>13.7848386491557</v>
      </c>
      <c r="EY66" s="99">
        <v>13.836720450281399</v>
      </c>
      <c r="EZ66" s="99">
        <v>13.8886022514071</v>
      </c>
      <c r="FA66" s="99">
        <v>13.940484052532801</v>
      </c>
      <c r="FB66" s="99">
        <v>13.9923658536585</v>
      </c>
      <c r="FC66" s="99">
        <v>14.044247654784201</v>
      </c>
      <c r="FD66" s="99">
        <v>14.0961294559099</v>
      </c>
      <c r="FE66" s="99">
        <v>14.1480112570357</v>
      </c>
      <c r="FF66" s="99">
        <v>14.1998930581614</v>
      </c>
      <c r="FG66" s="99">
        <v>14.251774859287</v>
      </c>
      <c r="FH66" s="99">
        <v>14.3036566604128</v>
      </c>
      <c r="FI66" s="99">
        <v>14.355538461538501</v>
      </c>
      <c r="FJ66" s="99">
        <v>14.4074202626642</v>
      </c>
      <c r="FK66" s="99">
        <v>14.459302063789901</v>
      </c>
      <c r="FL66" s="99">
        <v>14.5111838649156</v>
      </c>
      <c r="FM66" s="99">
        <v>14.5630656660413</v>
      </c>
      <c r="FN66" s="99">
        <v>14.614947467166999</v>
      </c>
      <c r="FO66" s="99">
        <v>14.6668292682927</v>
      </c>
      <c r="FP66" s="99">
        <v>14.718711069418401</v>
      </c>
      <c r="FQ66" s="99">
        <v>14.7705928705441</v>
      </c>
      <c r="FR66" s="99">
        <v>14.8224746716698</v>
      </c>
      <c r="FS66" s="99">
        <v>14.874356472795499</v>
      </c>
      <c r="FT66" s="99">
        <v>14.9262382739212</v>
      </c>
      <c r="FU66" s="99">
        <v>14.978120075046901</v>
      </c>
      <c r="FV66" s="99">
        <v>15.0300018761726</v>
      </c>
      <c r="FW66" s="99">
        <v>15.0818836772983</v>
      </c>
      <c r="FX66" s="99">
        <v>15.133765478423999</v>
      </c>
      <c r="FY66" s="99">
        <v>15.1856472795497</v>
      </c>
      <c r="FZ66" s="99">
        <v>15.237529080675399</v>
      </c>
      <c r="GA66" s="99">
        <v>15.2894108818011</v>
      </c>
      <c r="GB66" s="99">
        <v>15.341292682926801</v>
      </c>
      <c r="GC66" s="99">
        <v>15.3931744840525</v>
      </c>
      <c r="GD66" s="99">
        <v>15.4450562851782</v>
      </c>
      <c r="GE66" s="99">
        <v>15.496938086303899</v>
      </c>
      <c r="GF66" s="99">
        <v>15.5488198874296</v>
      </c>
      <c r="GG66" s="99">
        <v>15.600701688555301</v>
      </c>
      <c r="GH66" s="99">
        <v>15.652583489681099</v>
      </c>
      <c r="GI66" s="99">
        <v>15.7044652908068</v>
      </c>
      <c r="GJ66" s="99">
        <v>15.756347091932501</v>
      </c>
      <c r="GK66" s="99">
        <v>15.8082288930582</v>
      </c>
      <c r="GL66" s="99">
        <v>15.8601106941839</v>
      </c>
      <c r="GM66" s="99">
        <v>15.911992495309599</v>
      </c>
      <c r="GN66" s="99">
        <v>15.9638742964353</v>
      </c>
      <c r="GO66" s="99">
        <v>16.015756097560999</v>
      </c>
      <c r="GP66" s="99">
        <v>16.067637898686701</v>
      </c>
      <c r="GQ66" s="99">
        <v>16.1195196998124</v>
      </c>
      <c r="GR66" s="99">
        <v>16.171401500938099</v>
      </c>
      <c r="GS66" s="99">
        <v>16.223283302063798</v>
      </c>
      <c r="GT66" s="99">
        <v>16.275165103189501</v>
      </c>
      <c r="GU66" s="99">
        <v>16.3270469043152</v>
      </c>
      <c r="GV66" s="99">
        <v>16.378928705440899</v>
      </c>
      <c r="GW66" s="99">
        <v>16.430810506566601</v>
      </c>
      <c r="GX66" s="99">
        <v>16.4826923076923</v>
      </c>
      <c r="GY66" s="99">
        <v>16.534574108817999</v>
      </c>
      <c r="GZ66" s="99">
        <v>16.586455909943702</v>
      </c>
      <c r="HA66" s="99">
        <v>16.638337711069401</v>
      </c>
      <c r="HB66" s="99">
        <v>16.6902195121951</v>
      </c>
      <c r="HC66" s="99">
        <v>16.742101313320799</v>
      </c>
      <c r="HD66" s="99">
        <v>16.793983114446501</v>
      </c>
      <c r="HE66" s="99">
        <v>16.8458649155722</v>
      </c>
      <c r="HF66" s="99">
        <v>16.897746716697998</v>
      </c>
      <c r="HG66" s="99">
        <v>16.949628517823701</v>
      </c>
      <c r="HH66" s="99">
        <v>17.0015103189494</v>
      </c>
      <c r="HI66" s="99">
        <v>17.053392120075099</v>
      </c>
      <c r="HJ66" s="99">
        <v>17.105273921200801</v>
      </c>
      <c r="HK66" s="99">
        <v>17.1571557223265</v>
      </c>
      <c r="HL66" s="99">
        <v>17.209037523452199</v>
      </c>
      <c r="HM66" s="99">
        <v>17.260919324577898</v>
      </c>
      <c r="HN66" s="99">
        <v>17.312801125703601</v>
      </c>
      <c r="HO66" s="99">
        <v>17.3646829268293</v>
      </c>
      <c r="HP66" s="99">
        <v>17.416564727954999</v>
      </c>
      <c r="HQ66" s="99">
        <v>17.468446529080701</v>
      </c>
      <c r="HR66" s="99">
        <v>17.5203283302064</v>
      </c>
      <c r="HS66" s="99">
        <v>17.572210131332099</v>
      </c>
      <c r="HT66" s="99">
        <v>17.624091932457802</v>
      </c>
      <c r="HU66" s="99">
        <v>17.675973733583501</v>
      </c>
      <c r="HV66" s="99">
        <v>17.7278555347092</v>
      </c>
      <c r="HW66" s="99">
        <v>17.779737335834898</v>
      </c>
      <c r="HX66" s="99">
        <v>17.831619136960601</v>
      </c>
      <c r="HY66" s="99">
        <v>17.8835009380863</v>
      </c>
      <c r="HZ66" s="99">
        <v>17.935382739211999</v>
      </c>
      <c r="IA66" s="99">
        <v>17.987264540337701</v>
      </c>
      <c r="IB66" s="99">
        <v>18.0391463414634</v>
      </c>
      <c r="IC66" s="99">
        <v>18.091028142589099</v>
      </c>
      <c r="ID66" s="99">
        <v>18.142909943714798</v>
      </c>
      <c r="IE66" s="99">
        <v>18.194791744840501</v>
      </c>
      <c r="IF66" s="99">
        <v>18.2466735459662</v>
      </c>
      <c r="IG66" s="99">
        <v>18.298555347092002</v>
      </c>
      <c r="IH66" s="99">
        <v>18.350437148217701</v>
      </c>
      <c r="II66" s="99">
        <v>18.4023189493434</v>
      </c>
      <c r="IJ66" s="99">
        <v>18.454200750469099</v>
      </c>
      <c r="IK66" s="99">
        <v>18.506082551594801</v>
      </c>
      <c r="IL66" s="99">
        <v>18.5579643527205</v>
      </c>
      <c r="IM66" s="99">
        <v>18.609846153846199</v>
      </c>
      <c r="IN66" s="99">
        <v>18.661727954971902</v>
      </c>
      <c r="IO66" s="99">
        <v>18.7136097560976</v>
      </c>
      <c r="IP66" s="99">
        <v>18.765491557223299</v>
      </c>
      <c r="IQ66" s="99">
        <v>18.817373358348998</v>
      </c>
      <c r="IR66" s="99">
        <v>18.869255159474701</v>
      </c>
      <c r="IS66" s="99">
        <v>18.9211369606004</v>
      </c>
      <c r="IT66" s="99">
        <v>18.973018761726099</v>
      </c>
      <c r="IU66" s="99">
        <v>19.024900562851801</v>
      </c>
      <c r="IV66" s="99">
        <v>19.0767823639775</v>
      </c>
      <c r="IW66" s="99">
        <v>19.128664165103199</v>
      </c>
      <c r="IX66" s="99">
        <v>19.180545966228902</v>
      </c>
      <c r="IY66" s="99">
        <v>19.232427767354601</v>
      </c>
      <c r="IZ66" s="99">
        <v>19.2843095684803</v>
      </c>
      <c r="JA66" s="99">
        <v>19.336191369605999</v>
      </c>
      <c r="JB66" s="99">
        <v>19.388073170731701</v>
      </c>
      <c r="JC66" s="99">
        <v>19.4399549718574</v>
      </c>
      <c r="JD66" s="99">
        <v>19.491836772983099</v>
      </c>
      <c r="JE66" s="99">
        <v>19.543718574108802</v>
      </c>
      <c r="JF66" s="99">
        <v>19.5956003752345</v>
      </c>
      <c r="JG66" s="99">
        <v>19.647482176360199</v>
      </c>
      <c r="JH66" s="99">
        <v>19.699363977485898</v>
      </c>
      <c r="JI66" s="99">
        <v>19.751245778611601</v>
      </c>
      <c r="JJ66" s="99">
        <v>19.803127579737399</v>
      </c>
      <c r="JK66" s="99">
        <v>19.855009380863098</v>
      </c>
      <c r="JL66" s="99">
        <v>19.906891181988801</v>
      </c>
      <c r="JM66" s="99">
        <v>19.9587729831145</v>
      </c>
      <c r="JN66" s="99">
        <v>20.010654784240199</v>
      </c>
      <c r="JO66" s="99">
        <v>20.062536585365901</v>
      </c>
      <c r="JP66" s="99">
        <v>20.1144183864916</v>
      </c>
      <c r="JQ66" s="99">
        <v>20.166300187617299</v>
      </c>
      <c r="JR66" s="99">
        <v>20.218181988743002</v>
      </c>
      <c r="JS66" s="99">
        <v>20.270063789868701</v>
      </c>
      <c r="JT66" s="99">
        <v>20.3219455909944</v>
      </c>
      <c r="JU66" s="99">
        <v>20.373827392120099</v>
      </c>
      <c r="JV66" s="99">
        <v>20.425709193245801</v>
      </c>
      <c r="JW66" s="99">
        <v>20.4775909943715</v>
      </c>
      <c r="JX66" s="99">
        <v>20.529472795497199</v>
      </c>
      <c r="JY66" s="99">
        <v>20.581354596622901</v>
      </c>
      <c r="JZ66" s="99">
        <v>20.6332363977486</v>
      </c>
      <c r="KA66" s="99">
        <v>20.685118198874299</v>
      </c>
      <c r="KB66" s="99">
        <v>20.736999999999998</v>
      </c>
      <c r="KC66" s="99">
        <v>20.788881801125701</v>
      </c>
      <c r="KD66" s="99">
        <v>20.8407636022514</v>
      </c>
      <c r="KE66" s="99">
        <v>20.892645403377099</v>
      </c>
      <c r="KF66" s="99">
        <v>20.944527204502801</v>
      </c>
      <c r="KG66" s="99">
        <v>20.9964090056285</v>
      </c>
      <c r="KH66" s="99">
        <v>21.048290806754199</v>
      </c>
      <c r="KI66" s="99">
        <v>21.100172607879902</v>
      </c>
      <c r="KJ66" s="99">
        <v>21.152054409005601</v>
      </c>
      <c r="KK66" s="99">
        <v>21.2039362101313</v>
      </c>
      <c r="KL66" s="99">
        <v>21.255818011257102</v>
      </c>
      <c r="KM66" s="99">
        <v>21.307699812382801</v>
      </c>
      <c r="KN66" s="99">
        <v>21.359581613508499</v>
      </c>
      <c r="KO66" s="99">
        <v>21.411463414634198</v>
      </c>
      <c r="KP66" s="99">
        <v>21.463345215759901</v>
      </c>
      <c r="KQ66" s="99">
        <v>21.5152270168856</v>
      </c>
      <c r="KR66" s="99">
        <v>21.567108818011299</v>
      </c>
      <c r="KS66" s="99">
        <v>21.618990619137001</v>
      </c>
      <c r="KT66" s="99">
        <v>21.6708724202627</v>
      </c>
      <c r="KU66" s="99">
        <v>21.722754221388399</v>
      </c>
      <c r="KV66" s="99">
        <v>21.774636022514098</v>
      </c>
      <c r="KW66" s="99">
        <v>21.826517823639801</v>
      </c>
      <c r="KX66" s="99">
        <v>21.8783996247655</v>
      </c>
      <c r="KY66" s="99">
        <v>21.930281425891199</v>
      </c>
      <c r="KZ66" s="99">
        <v>21.982163227016901</v>
      </c>
      <c r="LA66" s="99">
        <v>22.0340450281426</v>
      </c>
      <c r="LB66" s="99">
        <v>22.085926829268299</v>
      </c>
      <c r="LC66" s="99">
        <v>22.137808630394002</v>
      </c>
      <c r="LD66" s="99">
        <v>22.189690431519701</v>
      </c>
      <c r="LE66" s="99">
        <v>22.2415722326454</v>
      </c>
      <c r="LF66" s="99">
        <v>22.293454033771098</v>
      </c>
      <c r="LG66" s="99">
        <v>22.345335834896801</v>
      </c>
      <c r="LH66" s="99">
        <v>22.3972176360225</v>
      </c>
      <c r="LI66" s="99">
        <v>22.449099437148199</v>
      </c>
      <c r="LJ66" s="99">
        <v>22.500981238273901</v>
      </c>
      <c r="LK66" s="99">
        <v>22.5528630393996</v>
      </c>
      <c r="LL66" s="99">
        <v>22.604744840525299</v>
      </c>
      <c r="LM66" s="99">
        <v>22.656626641650998</v>
      </c>
      <c r="LN66" s="99">
        <v>22.7085084427768</v>
      </c>
      <c r="LO66" s="99">
        <v>22.760390243902499</v>
      </c>
      <c r="LP66" s="99">
        <v>22.812272045028202</v>
      </c>
      <c r="LQ66" s="99">
        <v>22.864153846153901</v>
      </c>
      <c r="LR66" s="99">
        <v>22.9160356472796</v>
      </c>
      <c r="LS66" s="99">
        <v>22.967917448405299</v>
      </c>
      <c r="LT66" s="99">
        <v>23.019799249531001</v>
      </c>
      <c r="LU66" s="99">
        <v>23.0716810506567</v>
      </c>
      <c r="LV66" s="99">
        <v>23.123562851782399</v>
      </c>
      <c r="LW66" s="99">
        <v>23.175444652908102</v>
      </c>
      <c r="LX66" s="99">
        <v>23.2273264540338</v>
      </c>
      <c r="LY66" s="99">
        <v>23.279208255159499</v>
      </c>
      <c r="LZ66" s="99">
        <v>23.331090056285198</v>
      </c>
      <c r="MA66" s="99">
        <v>23.382971857410901</v>
      </c>
      <c r="MB66" s="99">
        <v>23.4348536585366</v>
      </c>
      <c r="MC66" s="99">
        <v>23.486735459662299</v>
      </c>
      <c r="MD66" s="99">
        <v>23.538617260788001</v>
      </c>
      <c r="ME66" s="99">
        <v>23.5904990619137</v>
      </c>
      <c r="MF66" s="99">
        <v>23.642380863039399</v>
      </c>
      <c r="MG66" s="99">
        <v>23.694262664165102</v>
      </c>
      <c r="MH66" s="99">
        <v>23.746144465290801</v>
      </c>
      <c r="MI66" s="99">
        <v>23.7980262664165</v>
      </c>
      <c r="MJ66" s="99">
        <v>23.849908067542199</v>
      </c>
      <c r="MK66" s="99">
        <v>23.901789868667901</v>
      </c>
      <c r="ML66" s="99">
        <v>23.9536716697936</v>
      </c>
      <c r="MM66" s="99">
        <v>24.005553470919299</v>
      </c>
      <c r="MN66" s="99">
        <v>24.057435272045002</v>
      </c>
      <c r="MO66" s="99">
        <v>24.1093170731708</v>
      </c>
      <c r="MP66" s="99">
        <v>24.161198874296499</v>
      </c>
      <c r="MQ66" s="99">
        <v>24.213080675422201</v>
      </c>
      <c r="MR66" s="99">
        <v>24.2649624765479</v>
      </c>
      <c r="MS66" s="99">
        <v>24.316844277673599</v>
      </c>
      <c r="MT66" s="99">
        <v>24.368726078799298</v>
      </c>
      <c r="MU66" s="99">
        <v>24.420607879925001</v>
      </c>
      <c r="MV66" s="99">
        <v>24.4724896810507</v>
      </c>
      <c r="MW66" s="99">
        <v>24.524371482176399</v>
      </c>
      <c r="MX66" s="99">
        <v>24.576253283302101</v>
      </c>
      <c r="MY66" s="99">
        <v>24.6281350844278</v>
      </c>
      <c r="MZ66" s="99">
        <v>24.680016885553499</v>
      </c>
      <c r="NA66" s="99">
        <v>24.731898686679202</v>
      </c>
      <c r="NB66" s="99">
        <v>24.783780487804901</v>
      </c>
      <c r="NC66" s="99">
        <v>24.8356622889306</v>
      </c>
      <c r="ND66" s="99">
        <v>24.887544090056299</v>
      </c>
      <c r="NE66" s="99">
        <v>24.939425891182001</v>
      </c>
      <c r="NF66" s="99">
        <v>24.9913076923077</v>
      </c>
      <c r="NG66" s="99">
        <v>25.043189493433399</v>
      </c>
      <c r="NH66" s="99">
        <v>25.095071294559101</v>
      </c>
      <c r="NI66" s="99">
        <v>25.1469530956848</v>
      </c>
      <c r="NJ66" s="99">
        <v>25.198834896810499</v>
      </c>
      <c r="NK66" s="99">
        <v>25.250716697936198</v>
      </c>
      <c r="NL66" s="99">
        <v>25.302598499061901</v>
      </c>
      <c r="NM66" s="99">
        <v>25.3544803001876</v>
      </c>
      <c r="NN66" s="99">
        <v>25.406362101313299</v>
      </c>
      <c r="NO66" s="99">
        <v>25.458243902439001</v>
      </c>
      <c r="NP66" s="99">
        <v>25.5101257035647</v>
      </c>
      <c r="NQ66" s="99">
        <v>25.562007504690399</v>
      </c>
      <c r="NR66" s="99">
        <v>25.613889305816201</v>
      </c>
      <c r="NS66" s="99">
        <v>25.6657711069419</v>
      </c>
      <c r="NT66" s="99">
        <v>25.717652908067599</v>
      </c>
      <c r="NU66" s="99">
        <v>25.769534709193302</v>
      </c>
      <c r="NV66" s="99">
        <v>25.821416510319001</v>
      </c>
      <c r="NW66" s="99">
        <v>25.873298311444699</v>
      </c>
      <c r="NX66" s="99">
        <v>25.925180112570398</v>
      </c>
      <c r="NY66" s="99">
        <v>25.977061913696101</v>
      </c>
      <c r="NZ66" s="99">
        <v>26.0289437148218</v>
      </c>
      <c r="OA66" s="99">
        <v>26.080825515947499</v>
      </c>
      <c r="OB66" s="99">
        <v>26.132707317073201</v>
      </c>
      <c r="OC66" s="99">
        <v>26.1845891181989</v>
      </c>
      <c r="OD66" s="99">
        <v>26.236470919324599</v>
      </c>
      <c r="OE66" s="99">
        <v>26.288352720450298</v>
      </c>
      <c r="OF66" s="99">
        <v>26.340234521576001</v>
      </c>
      <c r="OG66" s="99">
        <v>26.3921163227017</v>
      </c>
      <c r="OH66" s="99">
        <v>26.443998123827399</v>
      </c>
      <c r="OI66" s="99">
        <v>26.495879924953101</v>
      </c>
      <c r="OJ66" s="99">
        <v>26.5477617260788</v>
      </c>
      <c r="OK66" s="99">
        <v>26.599643527204499</v>
      </c>
      <c r="OL66" s="99">
        <v>26.651525328330202</v>
      </c>
      <c r="OM66" s="99">
        <v>26.703407129455901</v>
      </c>
      <c r="ON66" s="99">
        <v>26.7552889305816</v>
      </c>
      <c r="OO66" s="99">
        <v>26.807170731707298</v>
      </c>
      <c r="OP66" s="99">
        <v>26.859052532833001</v>
      </c>
      <c r="OQ66" s="99">
        <v>26.9109343339587</v>
      </c>
      <c r="OR66" s="99">
        <v>26.962816135084399</v>
      </c>
      <c r="OS66" s="99">
        <v>27.014697936210101</v>
      </c>
      <c r="OT66" s="99">
        <v>27.0665797373359</v>
      </c>
      <c r="OU66" s="99">
        <v>27.118461538461599</v>
      </c>
      <c r="OV66" s="99">
        <v>27.170343339587301</v>
      </c>
      <c r="OW66" s="99">
        <v>27.222225140713</v>
      </c>
      <c r="OX66" s="99">
        <v>27.274106941838699</v>
      </c>
      <c r="OY66" s="99">
        <v>27.325988742964402</v>
      </c>
      <c r="OZ66" s="99">
        <v>27.377870544090101</v>
      </c>
      <c r="PA66" s="99">
        <v>27.4297523452158</v>
      </c>
      <c r="PB66" s="99">
        <v>27.481634146341499</v>
      </c>
      <c r="PC66" s="99">
        <v>27.533515947467201</v>
      </c>
      <c r="PD66" s="99">
        <v>27.5853977485929</v>
      </c>
      <c r="PE66" s="99">
        <v>27.637279549718599</v>
      </c>
      <c r="PF66" s="99">
        <v>27.689161350844302</v>
      </c>
      <c r="PG66" s="99">
        <v>27.74104315197</v>
      </c>
      <c r="PH66" s="99">
        <v>27.792924953095699</v>
      </c>
      <c r="PI66" s="99">
        <v>27.844806754221398</v>
      </c>
      <c r="PJ66" s="99">
        <v>27.896688555347101</v>
      </c>
      <c r="PK66" s="99">
        <v>27.9485703564728</v>
      </c>
      <c r="PL66" s="99">
        <v>28.000452157598499</v>
      </c>
      <c r="PM66" s="99">
        <v>28.052333958724201</v>
      </c>
      <c r="PN66" s="99">
        <v>28.1042157598499</v>
      </c>
      <c r="PO66" s="99">
        <v>28.156097560975599</v>
      </c>
      <c r="PP66" s="99">
        <v>28.207979362101302</v>
      </c>
      <c r="PQ66" s="99">
        <v>28.259861163227001</v>
      </c>
      <c r="PR66" s="99">
        <v>28.3117429643527</v>
      </c>
      <c r="PS66" s="99">
        <v>28.363624765478399</v>
      </c>
      <c r="PT66" s="99">
        <v>28.415506566604101</v>
      </c>
      <c r="PU66" s="99">
        <v>28.4673883677298</v>
      </c>
      <c r="PV66" s="99">
        <v>28.519270168855599</v>
      </c>
      <c r="PW66" s="99">
        <v>28.571151969981301</v>
      </c>
      <c r="PX66" s="99">
        <v>28.623033771107</v>
      </c>
      <c r="PY66" s="99">
        <v>28.674915572232699</v>
      </c>
      <c r="PZ66" s="99">
        <v>28.726797373358401</v>
      </c>
      <c r="QA66" s="99">
        <v>28.7786791744841</v>
      </c>
      <c r="QB66" s="99">
        <v>28.830560975609799</v>
      </c>
      <c r="QC66" s="99">
        <v>28.882442776735498</v>
      </c>
      <c r="QD66" s="99">
        <v>28.934324577861201</v>
      </c>
      <c r="QE66" s="99">
        <v>28.9862063789869</v>
      </c>
      <c r="QF66" s="99">
        <v>29.038088180112599</v>
      </c>
      <c r="QG66" s="99">
        <v>29.089969981238301</v>
      </c>
      <c r="QH66" s="99">
        <v>29.141851782364</v>
      </c>
      <c r="QI66" s="99">
        <v>29.193733583489699</v>
      </c>
      <c r="QJ66" s="99">
        <v>29.245615384615402</v>
      </c>
      <c r="QK66" s="99">
        <v>29.297497185741101</v>
      </c>
      <c r="QL66" s="99">
        <v>29.3493789868668</v>
      </c>
      <c r="QM66" s="99">
        <v>29.401260787992499</v>
      </c>
      <c r="QN66" s="99">
        <v>29.453142589118201</v>
      </c>
      <c r="QO66" s="99">
        <v>29.5050243902439</v>
      </c>
      <c r="QP66" s="99">
        <v>29.556906191369599</v>
      </c>
      <c r="QQ66" s="99">
        <v>29.608787992495301</v>
      </c>
      <c r="QR66" s="99">
        <v>29.660669793621</v>
      </c>
      <c r="QS66" s="99">
        <v>29.712551594746699</v>
      </c>
      <c r="QT66" s="99">
        <v>29.764433395872398</v>
      </c>
      <c r="QU66" s="99">
        <v>29.816315196998101</v>
      </c>
      <c r="QV66" s="99">
        <v>29.8681969981238</v>
      </c>
      <c r="QW66" s="99">
        <v>29.920078799249499</v>
      </c>
      <c r="QX66" s="99">
        <v>29.971960600375301</v>
      </c>
      <c r="QY66" s="99">
        <v>30.023842401501</v>
      </c>
      <c r="QZ66" s="99">
        <v>30.075724202626699</v>
      </c>
      <c r="RA66" s="99">
        <v>30.127606003752401</v>
      </c>
      <c r="RB66" s="99">
        <v>30.1794878048781</v>
      </c>
      <c r="RC66" s="99">
        <v>30.231369606003799</v>
      </c>
      <c r="RD66" s="99">
        <v>30.283251407129502</v>
      </c>
      <c r="RE66" s="99">
        <v>30.335133208255201</v>
      </c>
      <c r="RF66" s="99">
        <v>30.387015009380899</v>
      </c>
      <c r="RG66" s="99">
        <v>30.438896810506598</v>
      </c>
      <c r="RH66" s="99">
        <v>30.490778611632301</v>
      </c>
      <c r="RI66" s="99">
        <v>30.542660412758</v>
      </c>
      <c r="RJ66" s="99">
        <v>30.594542213883699</v>
      </c>
      <c r="RK66" s="99">
        <v>30.646424015009401</v>
      </c>
      <c r="RL66" s="99">
        <v>30.6983058161351</v>
      </c>
      <c r="RM66" s="99">
        <v>30.750187617260799</v>
      </c>
      <c r="RN66" s="99">
        <v>30.802069418386498</v>
      </c>
      <c r="RO66" s="99">
        <v>30.853951219512201</v>
      </c>
      <c r="RP66" s="99">
        <v>30.9058330206379</v>
      </c>
      <c r="RQ66" s="99">
        <v>30.957714821763599</v>
      </c>
      <c r="RR66" s="99">
        <v>31.009596622889301</v>
      </c>
      <c r="RS66" s="99">
        <v>31.061478424015</v>
      </c>
      <c r="RT66" s="99">
        <v>31.113360225140699</v>
      </c>
      <c r="RU66" s="99">
        <v>31.165242026266402</v>
      </c>
      <c r="RV66" s="99">
        <v>31.217123827392101</v>
      </c>
      <c r="RW66" s="99">
        <v>31.2690056285178</v>
      </c>
      <c r="RX66" s="99">
        <v>31.320887429643498</v>
      </c>
      <c r="RY66" s="99">
        <v>31.372769230769201</v>
      </c>
      <c r="RZ66" s="99">
        <v>31.4246510318949</v>
      </c>
      <c r="SA66" s="99">
        <v>31.476532833020698</v>
      </c>
      <c r="SB66" s="99">
        <v>31.528414634146401</v>
      </c>
      <c r="SC66" s="99">
        <v>31.5802964352721</v>
      </c>
      <c r="SD66" s="99">
        <v>31.632178236397799</v>
      </c>
      <c r="SE66" s="99">
        <v>31.684060037523501</v>
      </c>
      <c r="SF66" s="99">
        <v>31.7359418386492</v>
      </c>
      <c r="SG66" s="99">
        <v>31.787823639774899</v>
      </c>
      <c r="SH66" s="99">
        <v>31.839705440900602</v>
      </c>
      <c r="SI66" s="99">
        <v>31.891587242026301</v>
      </c>
      <c r="SJ66" s="99">
        <v>31.943469043152</v>
      </c>
      <c r="SK66" s="99">
        <v>31.995350844277699</v>
      </c>
      <c r="SL66" s="99">
        <v>32.047232645403398</v>
      </c>
      <c r="SM66" s="99">
        <v>32.0991144465291</v>
      </c>
      <c r="SN66" s="99">
        <v>32.150996247654803</v>
      </c>
      <c r="SO66" s="99">
        <v>32.202878048780498</v>
      </c>
      <c r="SP66" s="99">
        <v>32.2547598499062</v>
      </c>
      <c r="SQ66" s="99">
        <v>32.306641651031903</v>
      </c>
      <c r="SR66" s="99">
        <v>32.358523452157598</v>
      </c>
      <c r="SS66" s="99">
        <v>32.410405253283301</v>
      </c>
      <c r="ST66" s="99">
        <v>32.462287054409003</v>
      </c>
      <c r="SU66" s="99">
        <v>32.514168855534699</v>
      </c>
      <c r="SV66" s="99">
        <v>32.566050656660401</v>
      </c>
      <c r="SW66" s="99">
        <v>32.617932457786097</v>
      </c>
      <c r="SX66" s="99">
        <v>32.669814258911799</v>
      </c>
      <c r="SY66" s="99">
        <v>32.721696060037502</v>
      </c>
      <c r="SZ66" s="99">
        <v>32.773577861163197</v>
      </c>
      <c r="TA66" s="99">
        <v>32.8254596622889</v>
      </c>
      <c r="TB66" s="99">
        <v>32.877341463414602</v>
      </c>
      <c r="TC66" s="99">
        <v>32.929223264540397</v>
      </c>
      <c r="TD66" s="99">
        <v>32.9811050656661</v>
      </c>
      <c r="TE66" s="99">
        <v>33.032986866791802</v>
      </c>
      <c r="TF66" s="99">
        <v>33.084868667917497</v>
      </c>
      <c r="TG66" s="99">
        <v>33.1367504690432</v>
      </c>
      <c r="TH66" s="99">
        <v>33.188632270168902</v>
      </c>
      <c r="TI66" s="99">
        <v>33.240514071294598</v>
      </c>
      <c r="TJ66" s="99">
        <v>33.2923958724203</v>
      </c>
      <c r="TK66" s="99">
        <v>33.344277673546003</v>
      </c>
      <c r="TL66" s="99">
        <v>33.396159474671698</v>
      </c>
      <c r="TM66" s="99">
        <v>33.448041275797401</v>
      </c>
      <c r="TN66" s="99">
        <v>33.499923076923103</v>
      </c>
      <c r="TO66" s="99">
        <v>33.551804878048799</v>
      </c>
      <c r="TP66" s="99">
        <v>33.603686679174501</v>
      </c>
      <c r="TQ66" s="99">
        <v>33.655568480300197</v>
      </c>
      <c r="TR66" s="99">
        <v>33.707450281425899</v>
      </c>
      <c r="TS66" s="99">
        <v>33.759332082551602</v>
      </c>
      <c r="TT66" s="99">
        <v>33.811213883677297</v>
      </c>
      <c r="TU66" s="99">
        <v>33.863095684803</v>
      </c>
      <c r="TV66" s="99">
        <v>33.914977485928702</v>
      </c>
      <c r="TW66" s="99">
        <v>33.966859287054397</v>
      </c>
      <c r="TX66" s="99">
        <v>34.0187410881801</v>
      </c>
      <c r="TY66" s="99">
        <v>34.070622889305803</v>
      </c>
      <c r="TZ66" s="99">
        <v>34.122504690431498</v>
      </c>
      <c r="UA66" s="99">
        <v>34.1743864915572</v>
      </c>
      <c r="UB66" s="99">
        <v>34.226268292682903</v>
      </c>
      <c r="UC66" s="99">
        <v>34.278150093808598</v>
      </c>
      <c r="UD66" s="99">
        <v>34.3300318949344</v>
      </c>
      <c r="UE66" s="99">
        <v>34.381913696060103</v>
      </c>
      <c r="UF66" s="99">
        <v>34.433795497185798</v>
      </c>
      <c r="UG66" s="99">
        <v>34.485677298311501</v>
      </c>
      <c r="UH66" s="99">
        <v>34.537559099437203</v>
      </c>
      <c r="UI66" s="99">
        <v>34.589440900562899</v>
      </c>
      <c r="UJ66" s="99">
        <v>34.641322701688601</v>
      </c>
      <c r="UK66" s="99">
        <v>34.693204502814297</v>
      </c>
      <c r="UL66" s="99">
        <v>34.745086303939999</v>
      </c>
      <c r="UM66" s="99">
        <v>34.796968105065702</v>
      </c>
      <c r="UN66" s="99">
        <v>34.848849906191397</v>
      </c>
      <c r="UO66" s="99">
        <v>34.9007317073171</v>
      </c>
      <c r="UP66" s="99">
        <v>34.952613508442802</v>
      </c>
      <c r="UQ66" s="99">
        <v>35.004495309568497</v>
      </c>
      <c r="UR66" s="99">
        <v>35.0563771106942</v>
      </c>
      <c r="US66" s="99">
        <v>35.108258911819902</v>
      </c>
      <c r="UT66" s="99">
        <v>35.160140712945598</v>
      </c>
    </row>
    <row r="67" spans="1:566" x14ac:dyDescent="0.2">
      <c r="A67" s="89">
        <v>30.5</v>
      </c>
      <c r="B67" s="90">
        <v>5.85</v>
      </c>
      <c r="C67" s="90">
        <v>5.9</v>
      </c>
      <c r="D67" s="90">
        <v>5.95</v>
      </c>
      <c r="E67" s="90">
        <v>6</v>
      </c>
      <c r="F67" s="90">
        <v>6.05</v>
      </c>
      <c r="G67" s="90">
        <v>6.1</v>
      </c>
      <c r="H67" s="90">
        <v>6.16</v>
      </c>
      <c r="I67" s="90">
        <v>6.21</v>
      </c>
      <c r="J67" s="90">
        <v>6.26</v>
      </c>
      <c r="K67" s="90">
        <v>6.31</v>
      </c>
      <c r="L67" s="90">
        <v>6.36</v>
      </c>
      <c r="M67" s="90">
        <v>6.41</v>
      </c>
      <c r="N67" s="90">
        <v>6.46</v>
      </c>
      <c r="O67" s="90">
        <v>6.52</v>
      </c>
      <c r="P67" s="90">
        <v>6.57</v>
      </c>
      <c r="Q67" s="90">
        <v>6.62</v>
      </c>
      <c r="R67" s="90">
        <v>6.67</v>
      </c>
      <c r="S67" s="90">
        <v>6.72</v>
      </c>
      <c r="T67" s="90">
        <v>6.77</v>
      </c>
      <c r="U67" s="91">
        <v>6.82</v>
      </c>
      <c r="V67" s="90">
        <v>6.88</v>
      </c>
      <c r="W67" s="90">
        <v>6.93</v>
      </c>
      <c r="X67" s="90">
        <v>6.98</v>
      </c>
      <c r="Y67" s="90">
        <v>7.03</v>
      </c>
      <c r="Z67" s="90">
        <v>7.08</v>
      </c>
      <c r="AA67" s="90">
        <v>7.13</v>
      </c>
      <c r="AB67" s="90">
        <v>7.19</v>
      </c>
      <c r="AC67" s="90">
        <v>7.24</v>
      </c>
      <c r="AD67" s="90">
        <v>7.29</v>
      </c>
      <c r="AE67" s="90">
        <v>7.34</v>
      </c>
      <c r="AF67" s="90">
        <v>7.39</v>
      </c>
      <c r="AG67" s="90">
        <v>7.44</v>
      </c>
      <c r="AH67" s="90">
        <v>7.49</v>
      </c>
      <c r="AI67" s="90">
        <v>7.55</v>
      </c>
      <c r="AJ67" s="90">
        <v>7.6</v>
      </c>
      <c r="AK67" s="90">
        <v>7.65</v>
      </c>
      <c r="AL67" s="90">
        <v>7.7</v>
      </c>
      <c r="AM67" s="90">
        <v>7.75</v>
      </c>
      <c r="AN67" s="90">
        <v>7.8</v>
      </c>
      <c r="AO67" s="91">
        <v>7.85</v>
      </c>
      <c r="AP67" s="90">
        <v>7.9053076923076997</v>
      </c>
      <c r="AQ67" s="90">
        <v>7.9567617260787999</v>
      </c>
      <c r="AR67" s="90">
        <v>8.0082157598499109</v>
      </c>
      <c r="AS67" s="90">
        <v>8.0596697936210209</v>
      </c>
      <c r="AT67" s="90">
        <v>8.1111238273921291</v>
      </c>
      <c r="AU67" s="90">
        <v>8.1625778611632303</v>
      </c>
      <c r="AV67" s="90">
        <v>8.2140318949343403</v>
      </c>
      <c r="AW67" s="90">
        <v>8.2654859287054503</v>
      </c>
      <c r="AX67" s="90">
        <v>8.3169399624765497</v>
      </c>
      <c r="AY67" s="90">
        <v>8.3683939962476597</v>
      </c>
      <c r="AZ67" s="90">
        <v>8.4198480300187697</v>
      </c>
      <c r="BA67" s="90">
        <v>8.4713020637898708</v>
      </c>
      <c r="BB67" s="90">
        <v>8.5227560975609808</v>
      </c>
      <c r="BC67" s="90">
        <v>8.5742101313320909</v>
      </c>
      <c r="BD67" s="90">
        <v>8.6256641651031902</v>
      </c>
      <c r="BE67" s="90">
        <v>8.6771181988743002</v>
      </c>
      <c r="BF67" s="90">
        <v>8.7285722326454103</v>
      </c>
      <c r="BG67" s="90">
        <v>8.7800262664165203</v>
      </c>
      <c r="BH67" s="90">
        <v>8.8314803001876196</v>
      </c>
      <c r="BI67" s="91">
        <v>8.8829343339587297</v>
      </c>
      <c r="BJ67" s="90">
        <v>8.9343883677298397</v>
      </c>
      <c r="BK67" s="99">
        <v>8.9858424015009408</v>
      </c>
      <c r="BL67" s="99">
        <v>9.0372964352720508</v>
      </c>
      <c r="BM67" s="99">
        <v>9.0887504690431609</v>
      </c>
      <c r="BN67" s="99">
        <v>9.1402045028142602</v>
      </c>
      <c r="BO67" s="99">
        <v>9.1916585365853702</v>
      </c>
      <c r="BP67" s="99">
        <v>9.2431125703564803</v>
      </c>
      <c r="BQ67" s="99">
        <v>9.2945666041275903</v>
      </c>
      <c r="BR67" s="99">
        <v>9.3460206378986896</v>
      </c>
      <c r="BS67" s="99">
        <v>9.3974746716697997</v>
      </c>
      <c r="BT67" s="99">
        <v>9.4489287054409097</v>
      </c>
      <c r="BU67" s="99">
        <v>9.5003827392120108</v>
      </c>
      <c r="BV67" s="99">
        <v>9.5518367729831208</v>
      </c>
      <c r="BW67" s="99">
        <v>9.6032908067542309</v>
      </c>
      <c r="BX67" s="99">
        <v>9.6547448405253302</v>
      </c>
      <c r="BY67" s="99">
        <v>9.7061988742964402</v>
      </c>
      <c r="BZ67" s="99">
        <v>9.7576529080675503</v>
      </c>
      <c r="CA67" s="99">
        <v>9.8091069418386496</v>
      </c>
      <c r="CB67" s="99">
        <v>9.8605609756097596</v>
      </c>
      <c r="CC67" s="99">
        <v>9.9120150093808697</v>
      </c>
      <c r="CD67" s="99">
        <v>9.9634690431519797</v>
      </c>
      <c r="CE67" s="99">
        <v>10.0149230769231</v>
      </c>
      <c r="CF67" s="99">
        <v>10.0663771106942</v>
      </c>
      <c r="CG67" s="99">
        <v>10.117831144465301</v>
      </c>
      <c r="CH67" s="99">
        <v>10.1692851782364</v>
      </c>
      <c r="CI67" s="99">
        <v>10.2207392120075</v>
      </c>
      <c r="CJ67" s="99">
        <v>10.272193245778601</v>
      </c>
      <c r="CK67" s="99">
        <v>10.3236472795497</v>
      </c>
      <c r="CL67" s="99">
        <v>10.375101313320799</v>
      </c>
      <c r="CM67" s="99">
        <v>10.426555347091901</v>
      </c>
      <c r="CN67" s="99">
        <v>10.478009380863</v>
      </c>
      <c r="CO67" s="99">
        <v>10.529463414634099</v>
      </c>
      <c r="CP67" s="99">
        <v>10.5809174484053</v>
      </c>
      <c r="CQ67" s="99">
        <v>10.632371482176399</v>
      </c>
      <c r="CR67" s="99">
        <v>10.6838255159475</v>
      </c>
      <c r="CS67" s="99">
        <v>10.7352795497186</v>
      </c>
      <c r="CT67" s="99">
        <v>10.786733583489699</v>
      </c>
      <c r="CU67" s="99">
        <v>10.8381876172608</v>
      </c>
      <c r="CV67" s="99">
        <v>10.8896416510319</v>
      </c>
      <c r="CW67" s="99">
        <v>10.941095684803001</v>
      </c>
      <c r="CX67" s="99">
        <v>10.9925497185741</v>
      </c>
      <c r="CY67" s="99">
        <v>11.044003752345199</v>
      </c>
      <c r="CZ67" s="99">
        <v>11.095457786116301</v>
      </c>
      <c r="DA67" s="99">
        <v>11.1469118198874</v>
      </c>
      <c r="DB67" s="99">
        <v>11.198365853658499</v>
      </c>
      <c r="DC67" s="99">
        <v>11.2498198874296</v>
      </c>
      <c r="DD67" s="99">
        <v>11.301273921200799</v>
      </c>
      <c r="DE67" s="99">
        <v>11.3527279549719</v>
      </c>
      <c r="DF67" s="99">
        <v>11.404181988743</v>
      </c>
      <c r="DG67" s="99">
        <v>11.455636022514099</v>
      </c>
      <c r="DH67" s="99">
        <v>11.5070900562852</v>
      </c>
      <c r="DI67" s="99">
        <v>11.5585440900563</v>
      </c>
      <c r="DJ67" s="99">
        <v>11.609998123827401</v>
      </c>
      <c r="DK67" s="99">
        <v>11.6614521575985</v>
      </c>
      <c r="DL67" s="99">
        <v>11.7129061913696</v>
      </c>
      <c r="DM67" s="99">
        <v>11.764360225140701</v>
      </c>
      <c r="DN67" s="99">
        <v>11.8158142589118</v>
      </c>
      <c r="DO67" s="99">
        <v>11.867268292682899</v>
      </c>
      <c r="DP67" s="99">
        <v>11.918722326454001</v>
      </c>
      <c r="DQ67" s="99">
        <v>11.9701763602251</v>
      </c>
      <c r="DR67" s="99">
        <v>12.021630393996199</v>
      </c>
      <c r="DS67" s="99">
        <v>12.0730844277674</v>
      </c>
      <c r="DT67" s="99">
        <v>12.124538461538499</v>
      </c>
      <c r="DU67" s="99">
        <v>12.1759924953096</v>
      </c>
      <c r="DV67" s="99">
        <v>12.2274465290807</v>
      </c>
      <c r="DW67" s="99">
        <v>12.278900562851801</v>
      </c>
      <c r="DX67" s="99">
        <v>12.3303545966229</v>
      </c>
      <c r="DY67" s="99">
        <v>12.381808630394</v>
      </c>
      <c r="DZ67" s="99">
        <v>12.433262664165101</v>
      </c>
      <c r="EA67" s="99">
        <v>12.4847166979362</v>
      </c>
      <c r="EB67" s="99">
        <v>12.536170731707299</v>
      </c>
      <c r="EC67" s="99">
        <v>12.587624765478401</v>
      </c>
      <c r="ED67" s="99">
        <v>12.6390787992495</v>
      </c>
      <c r="EE67" s="99">
        <v>12.690532833020599</v>
      </c>
      <c r="EF67" s="99">
        <v>12.7419868667917</v>
      </c>
      <c r="EG67" s="99">
        <v>12.793440900562899</v>
      </c>
      <c r="EH67" s="99">
        <v>12.844894934334</v>
      </c>
      <c r="EI67" s="99">
        <v>12.8963489681051</v>
      </c>
      <c r="EJ67" s="99">
        <v>12.947803001876199</v>
      </c>
      <c r="EK67" s="99">
        <v>12.9992570356473</v>
      </c>
      <c r="EL67" s="99">
        <v>13.0507110694184</v>
      </c>
      <c r="EM67" s="99">
        <v>13.102165103189501</v>
      </c>
      <c r="EN67" s="99">
        <v>13.1536191369606</v>
      </c>
      <c r="EO67" s="99">
        <v>13.2050731707317</v>
      </c>
      <c r="EP67" s="99">
        <v>13.256527204502801</v>
      </c>
      <c r="EQ67" s="99">
        <v>13.3079812382739</v>
      </c>
      <c r="ER67" s="99">
        <v>13.359435272044999</v>
      </c>
      <c r="ES67" s="99">
        <v>13.410889305816101</v>
      </c>
      <c r="ET67" s="99">
        <v>13.4623433395872</v>
      </c>
      <c r="EU67" s="99">
        <v>13.513797373358299</v>
      </c>
      <c r="EV67" s="99">
        <v>13.5652514071295</v>
      </c>
      <c r="EW67" s="99">
        <v>13.616705440900599</v>
      </c>
      <c r="EX67" s="99">
        <v>13.6681594746717</v>
      </c>
      <c r="EY67" s="99">
        <v>13.7196135084428</v>
      </c>
      <c r="EZ67" s="99">
        <v>13.771067542213901</v>
      </c>
      <c r="FA67" s="99">
        <v>13.822521575985</v>
      </c>
      <c r="FB67" s="99">
        <v>13.8739756097561</v>
      </c>
      <c r="FC67" s="99">
        <v>13.925429643527201</v>
      </c>
      <c r="FD67" s="99">
        <v>13.9768836772983</v>
      </c>
      <c r="FE67" s="99">
        <v>14.028337711069399</v>
      </c>
      <c r="FF67" s="99">
        <v>14.079791744840501</v>
      </c>
      <c r="FG67" s="99">
        <v>14.1312457786116</v>
      </c>
      <c r="FH67" s="99">
        <v>14.182699812382699</v>
      </c>
      <c r="FI67" s="99">
        <v>14.2341538461538</v>
      </c>
      <c r="FJ67" s="99">
        <v>14.285607879924999</v>
      </c>
      <c r="FK67" s="99">
        <v>14.3370619136961</v>
      </c>
      <c r="FL67" s="99">
        <v>14.3885159474672</v>
      </c>
      <c r="FM67" s="99">
        <v>14.439969981238299</v>
      </c>
      <c r="FN67" s="99">
        <v>14.4914240150094</v>
      </c>
      <c r="FO67" s="99">
        <v>14.5428780487805</v>
      </c>
      <c r="FP67" s="99">
        <v>14.594332082551601</v>
      </c>
      <c r="FQ67" s="99">
        <v>14.6457861163227</v>
      </c>
      <c r="FR67" s="99">
        <v>14.697240150093799</v>
      </c>
      <c r="FS67" s="99">
        <v>14.748694183864901</v>
      </c>
      <c r="FT67" s="99">
        <v>14.800148217636</v>
      </c>
      <c r="FU67" s="99">
        <v>14.851602251407099</v>
      </c>
      <c r="FV67" s="99">
        <v>14.9030562851782</v>
      </c>
      <c r="FW67" s="99">
        <v>14.9545103189493</v>
      </c>
      <c r="FX67" s="99">
        <v>15.0059643527205</v>
      </c>
      <c r="FY67" s="99">
        <v>15.0574183864916</v>
      </c>
      <c r="FZ67" s="99">
        <v>15.108872420262699</v>
      </c>
      <c r="GA67" s="99">
        <v>15.1603264540338</v>
      </c>
      <c r="GB67" s="99">
        <v>15.2117804878049</v>
      </c>
      <c r="GC67" s="99">
        <v>15.263234521576001</v>
      </c>
      <c r="GD67" s="99">
        <v>15.3146885553471</v>
      </c>
      <c r="GE67" s="99">
        <v>15.3661425891182</v>
      </c>
      <c r="GF67" s="99">
        <v>15.417596622889301</v>
      </c>
      <c r="GG67" s="99">
        <v>15.4690506566604</v>
      </c>
      <c r="GH67" s="99">
        <v>15.520504690431499</v>
      </c>
      <c r="GI67" s="99">
        <v>15.571958724202601</v>
      </c>
      <c r="GJ67" s="99">
        <v>15.6234127579737</v>
      </c>
      <c r="GK67" s="99">
        <v>15.674866791744799</v>
      </c>
      <c r="GL67" s="99">
        <v>15.7263208255159</v>
      </c>
      <c r="GM67" s="99">
        <v>15.777774859287099</v>
      </c>
      <c r="GN67" s="99">
        <v>15.8292288930582</v>
      </c>
      <c r="GO67" s="99">
        <v>15.8806829268293</v>
      </c>
      <c r="GP67" s="99">
        <v>15.932136960600401</v>
      </c>
      <c r="GQ67" s="99">
        <v>15.9835909943715</v>
      </c>
      <c r="GR67" s="99">
        <v>16.035045028142601</v>
      </c>
      <c r="GS67" s="99">
        <v>16.086499061913699</v>
      </c>
      <c r="GT67" s="99">
        <v>16.1379530956848</v>
      </c>
      <c r="GU67" s="99">
        <v>16.189407129455901</v>
      </c>
      <c r="GV67" s="99">
        <v>16.240861163226999</v>
      </c>
      <c r="GW67" s="99">
        <v>16.2923151969981</v>
      </c>
      <c r="GX67" s="99">
        <v>16.343769230769201</v>
      </c>
      <c r="GY67" s="99">
        <v>16.395223264540299</v>
      </c>
      <c r="GZ67" s="99">
        <v>16.4466772983114</v>
      </c>
      <c r="HA67" s="99">
        <v>16.498131332082501</v>
      </c>
      <c r="HB67" s="99">
        <v>16.549585365853599</v>
      </c>
      <c r="HC67" s="99">
        <v>16.601039399624799</v>
      </c>
      <c r="HD67" s="99">
        <v>16.6524934333959</v>
      </c>
      <c r="HE67" s="99">
        <v>16.703947467167001</v>
      </c>
      <c r="HF67" s="99">
        <v>16.755401500938099</v>
      </c>
      <c r="HG67" s="99">
        <v>16.8068555347092</v>
      </c>
      <c r="HH67" s="99">
        <v>16.858309568480301</v>
      </c>
      <c r="HI67" s="99">
        <v>16.909763602251399</v>
      </c>
      <c r="HJ67" s="99">
        <v>16.9612176360225</v>
      </c>
      <c r="HK67" s="99">
        <v>17.012671669793601</v>
      </c>
      <c r="HL67" s="99">
        <v>17.064125703564699</v>
      </c>
      <c r="HM67" s="99">
        <v>17.1155797373358</v>
      </c>
      <c r="HN67" s="99">
        <v>17.167033771106901</v>
      </c>
      <c r="HO67" s="99">
        <v>17.218487804877999</v>
      </c>
      <c r="HP67" s="99">
        <v>17.2699418386491</v>
      </c>
      <c r="HQ67" s="99">
        <v>17.321395872420201</v>
      </c>
      <c r="HR67" s="99">
        <v>17.372849906191401</v>
      </c>
      <c r="HS67" s="99">
        <v>17.424303939962499</v>
      </c>
      <c r="HT67" s="99">
        <v>17.4757579737336</v>
      </c>
      <c r="HU67" s="99">
        <v>17.527212007504701</v>
      </c>
      <c r="HV67" s="99">
        <v>17.578666041275799</v>
      </c>
      <c r="HW67" s="99">
        <v>17.6301200750469</v>
      </c>
      <c r="HX67" s="99">
        <v>17.681574108818001</v>
      </c>
      <c r="HY67" s="99">
        <v>17.733028142589099</v>
      </c>
      <c r="HZ67" s="99">
        <v>17.7844821763602</v>
      </c>
      <c r="IA67" s="99">
        <v>17.835936210131301</v>
      </c>
      <c r="IB67" s="99">
        <v>17.887390243902399</v>
      </c>
      <c r="IC67" s="99">
        <v>17.9388442776735</v>
      </c>
      <c r="ID67" s="99">
        <v>17.990298311444601</v>
      </c>
      <c r="IE67" s="99">
        <v>18.041752345215698</v>
      </c>
      <c r="IF67" s="99">
        <v>18.093206378986899</v>
      </c>
      <c r="IG67" s="99">
        <v>18.144660412758</v>
      </c>
      <c r="IH67" s="99">
        <v>18.196114446529101</v>
      </c>
      <c r="II67" s="99">
        <v>18.247568480300199</v>
      </c>
      <c r="IJ67" s="99">
        <v>18.2990225140713</v>
      </c>
      <c r="IK67" s="99">
        <v>18.350476547842401</v>
      </c>
      <c r="IL67" s="99">
        <v>18.401930581613499</v>
      </c>
      <c r="IM67" s="99">
        <v>18.4533846153846</v>
      </c>
      <c r="IN67" s="99">
        <v>18.504838649155701</v>
      </c>
      <c r="IO67" s="99">
        <v>18.556292682926799</v>
      </c>
      <c r="IP67" s="99">
        <v>18.6077467166979</v>
      </c>
      <c r="IQ67" s="99">
        <v>18.659200750469001</v>
      </c>
      <c r="IR67" s="99">
        <v>18.710654784240099</v>
      </c>
      <c r="IS67" s="99">
        <v>18.7621088180112</v>
      </c>
      <c r="IT67" s="99">
        <v>18.8135628517824</v>
      </c>
      <c r="IU67" s="99">
        <v>18.865016885553501</v>
      </c>
      <c r="IV67" s="99">
        <v>18.916470919324599</v>
      </c>
      <c r="IW67" s="99">
        <v>18.9679249530957</v>
      </c>
      <c r="IX67" s="99">
        <v>19.019378986866801</v>
      </c>
      <c r="IY67" s="99">
        <v>19.070833020637899</v>
      </c>
      <c r="IZ67" s="99">
        <v>19.122287054409</v>
      </c>
      <c r="JA67" s="99">
        <v>19.173741088180101</v>
      </c>
      <c r="JB67" s="99">
        <v>19.225195121951199</v>
      </c>
      <c r="JC67" s="99">
        <v>19.2766491557223</v>
      </c>
      <c r="JD67" s="99">
        <v>19.328103189493401</v>
      </c>
      <c r="JE67" s="99">
        <v>19.379557223264499</v>
      </c>
      <c r="JF67" s="99">
        <v>19.4310112570356</v>
      </c>
      <c r="JG67" s="99">
        <v>19.482465290806701</v>
      </c>
      <c r="JH67" s="99">
        <v>19.533919324577798</v>
      </c>
      <c r="JI67" s="99">
        <v>19.585373358348999</v>
      </c>
      <c r="JJ67" s="99">
        <v>19.6368273921201</v>
      </c>
      <c r="JK67" s="99">
        <v>19.688281425891201</v>
      </c>
      <c r="JL67" s="99">
        <v>19.739735459662299</v>
      </c>
      <c r="JM67" s="99">
        <v>19.7911894934334</v>
      </c>
      <c r="JN67" s="99">
        <v>19.842643527204501</v>
      </c>
      <c r="JO67" s="99">
        <v>19.894097560975599</v>
      </c>
      <c r="JP67" s="99">
        <v>19.9455515947467</v>
      </c>
      <c r="JQ67" s="99">
        <v>19.997005628517801</v>
      </c>
      <c r="JR67" s="99">
        <v>20.048459662288899</v>
      </c>
      <c r="JS67" s="99">
        <v>20.09991369606</v>
      </c>
      <c r="JT67" s="99">
        <v>20.151367729831101</v>
      </c>
      <c r="JU67" s="99">
        <v>20.202821763602199</v>
      </c>
      <c r="JV67" s="99">
        <v>20.2542757973733</v>
      </c>
      <c r="JW67" s="99">
        <v>20.3057298311445</v>
      </c>
      <c r="JX67" s="99">
        <v>20.357183864915601</v>
      </c>
      <c r="JY67" s="99">
        <v>20.408637898686699</v>
      </c>
      <c r="JZ67" s="99">
        <v>20.4600919324578</v>
      </c>
      <c r="KA67" s="99">
        <v>20.511545966228901</v>
      </c>
      <c r="KB67" s="99">
        <v>20.562999999999999</v>
      </c>
      <c r="KC67" s="99">
        <v>20.6144540337711</v>
      </c>
      <c r="KD67" s="99">
        <v>20.665908067542201</v>
      </c>
      <c r="KE67" s="99">
        <v>20.717362101313299</v>
      </c>
      <c r="KF67" s="99">
        <v>20.7688161350844</v>
      </c>
      <c r="KG67" s="99">
        <v>20.820270168855501</v>
      </c>
      <c r="KH67" s="99">
        <v>20.871724202626599</v>
      </c>
      <c r="KI67" s="99">
        <v>20.9231782363977</v>
      </c>
      <c r="KJ67" s="99">
        <v>20.974632270168801</v>
      </c>
      <c r="KK67" s="99">
        <v>21.026086303939898</v>
      </c>
      <c r="KL67" s="99">
        <v>21.077540337711099</v>
      </c>
      <c r="KM67" s="99">
        <v>21.1289943714822</v>
      </c>
      <c r="KN67" s="99">
        <v>21.180448405253301</v>
      </c>
      <c r="KO67" s="99">
        <v>21.231902439024399</v>
      </c>
      <c r="KP67" s="99">
        <v>21.2833564727955</v>
      </c>
      <c r="KQ67" s="99">
        <v>21.334810506566601</v>
      </c>
      <c r="KR67" s="99">
        <v>21.386264540337699</v>
      </c>
      <c r="KS67" s="99">
        <v>21.4377185741088</v>
      </c>
      <c r="KT67" s="99">
        <v>21.489172607879901</v>
      </c>
      <c r="KU67" s="99">
        <v>21.540626641650999</v>
      </c>
      <c r="KV67" s="99">
        <v>21.5920806754221</v>
      </c>
      <c r="KW67" s="99">
        <v>21.643534709193201</v>
      </c>
      <c r="KX67" s="99">
        <v>21.694988742964298</v>
      </c>
      <c r="KY67" s="99">
        <v>21.7464427767354</v>
      </c>
      <c r="KZ67" s="99">
        <v>21.7978968105066</v>
      </c>
      <c r="LA67" s="99">
        <v>21.849350844277701</v>
      </c>
      <c r="LB67" s="99">
        <v>21.900804878048799</v>
      </c>
      <c r="LC67" s="99">
        <v>21.9522589118199</v>
      </c>
      <c r="LD67" s="99">
        <v>22.003712945591001</v>
      </c>
      <c r="LE67" s="99">
        <v>22.055166979362099</v>
      </c>
      <c r="LF67" s="99">
        <v>22.1066210131332</v>
      </c>
      <c r="LG67" s="99">
        <v>22.158075046904301</v>
      </c>
      <c r="LH67" s="99">
        <v>22.209529080675399</v>
      </c>
      <c r="LI67" s="99">
        <v>22.2609831144465</v>
      </c>
      <c r="LJ67" s="99">
        <v>22.312437148217601</v>
      </c>
      <c r="LK67" s="99">
        <v>22.363891181988699</v>
      </c>
      <c r="LL67" s="99">
        <v>22.4153452157598</v>
      </c>
      <c r="LM67" s="99">
        <v>22.466799249530901</v>
      </c>
      <c r="LN67" s="99">
        <v>22.518253283302101</v>
      </c>
      <c r="LO67" s="99">
        <v>22.569707317073199</v>
      </c>
      <c r="LP67" s="99">
        <v>22.6211613508443</v>
      </c>
      <c r="LQ67" s="99">
        <v>22.672615384615401</v>
      </c>
      <c r="LR67" s="99">
        <v>22.724069418386499</v>
      </c>
      <c r="LS67" s="99">
        <v>22.7755234521576</v>
      </c>
      <c r="LT67" s="99">
        <v>22.826977485928701</v>
      </c>
      <c r="LU67" s="99">
        <v>22.878431519699799</v>
      </c>
      <c r="LV67" s="99">
        <v>22.9298855534709</v>
      </c>
      <c r="LW67" s="99">
        <v>22.981339587242001</v>
      </c>
      <c r="LX67" s="99">
        <v>23.032793621013099</v>
      </c>
      <c r="LY67" s="99">
        <v>23.0842476547842</v>
      </c>
      <c r="LZ67" s="99">
        <v>23.135701688555301</v>
      </c>
      <c r="MA67" s="99">
        <v>23.187155722326398</v>
      </c>
      <c r="MB67" s="99">
        <v>23.2386097560975</v>
      </c>
      <c r="MC67" s="99">
        <v>23.2900637898687</v>
      </c>
      <c r="MD67" s="99">
        <v>23.341517823639801</v>
      </c>
      <c r="ME67" s="99">
        <v>23.392971857410899</v>
      </c>
      <c r="MF67" s="99">
        <v>23.444425891182</v>
      </c>
      <c r="MG67" s="99">
        <v>23.495879924953101</v>
      </c>
      <c r="MH67" s="99">
        <v>23.547333958724199</v>
      </c>
      <c r="MI67" s="99">
        <v>23.5987879924953</v>
      </c>
      <c r="MJ67" s="99">
        <v>23.650242026266401</v>
      </c>
      <c r="MK67" s="99">
        <v>23.701696060037499</v>
      </c>
      <c r="ML67" s="99">
        <v>23.7531500938086</v>
      </c>
      <c r="MM67" s="99">
        <v>23.804604127579701</v>
      </c>
      <c r="MN67" s="99">
        <v>23.856058161350798</v>
      </c>
      <c r="MO67" s="99">
        <v>23.9075121951219</v>
      </c>
      <c r="MP67" s="99">
        <v>23.958966228893001</v>
      </c>
      <c r="MQ67" s="99">
        <v>24.010420262664201</v>
      </c>
      <c r="MR67" s="99">
        <v>24.061874296435299</v>
      </c>
      <c r="MS67" s="99">
        <v>24.1133283302064</v>
      </c>
      <c r="MT67" s="99">
        <v>24.164782363977501</v>
      </c>
      <c r="MU67" s="99">
        <v>24.216236397748599</v>
      </c>
      <c r="MV67" s="99">
        <v>24.2676904315197</v>
      </c>
      <c r="MW67" s="99">
        <v>24.319144465290801</v>
      </c>
      <c r="MX67" s="99">
        <v>24.370598499061899</v>
      </c>
      <c r="MY67" s="99">
        <v>24.422052532833</v>
      </c>
      <c r="MZ67" s="99">
        <v>24.473506566604101</v>
      </c>
      <c r="NA67" s="99">
        <v>24.524960600375199</v>
      </c>
      <c r="NB67" s="99">
        <v>24.5764146341463</v>
      </c>
      <c r="NC67" s="99">
        <v>24.627868667917401</v>
      </c>
      <c r="ND67" s="99">
        <v>24.679322701688498</v>
      </c>
      <c r="NE67" s="99">
        <v>24.7307767354596</v>
      </c>
      <c r="NF67" s="99">
        <v>24.7822307692308</v>
      </c>
      <c r="NG67" s="99">
        <v>24.833684803001901</v>
      </c>
      <c r="NH67" s="99">
        <v>24.885138836772999</v>
      </c>
      <c r="NI67" s="99">
        <v>24.9365928705441</v>
      </c>
      <c r="NJ67" s="99">
        <v>24.988046904315201</v>
      </c>
      <c r="NK67" s="99">
        <v>25.039500938086299</v>
      </c>
      <c r="NL67" s="99">
        <v>25.0909549718574</v>
      </c>
      <c r="NM67" s="99">
        <v>25.142409005628501</v>
      </c>
      <c r="NN67" s="99">
        <v>25.193863039399599</v>
      </c>
      <c r="NO67" s="99">
        <v>25.2453170731707</v>
      </c>
      <c r="NP67" s="99">
        <v>25.296771106941801</v>
      </c>
      <c r="NQ67" s="99">
        <v>25.348225140712898</v>
      </c>
      <c r="NR67" s="99">
        <v>25.399679174484</v>
      </c>
      <c r="NS67" s="99">
        <v>25.451133208255101</v>
      </c>
      <c r="NT67" s="99">
        <v>25.502587242026301</v>
      </c>
      <c r="NU67" s="99">
        <v>25.554041275797399</v>
      </c>
      <c r="NV67" s="99">
        <v>25.6054953095685</v>
      </c>
      <c r="NW67" s="99">
        <v>25.656949343339601</v>
      </c>
      <c r="NX67" s="99">
        <v>25.708403377110699</v>
      </c>
      <c r="NY67" s="99">
        <v>25.7598574108818</v>
      </c>
      <c r="NZ67" s="99">
        <v>25.811311444652901</v>
      </c>
      <c r="OA67" s="99">
        <v>25.862765478423999</v>
      </c>
      <c r="OB67" s="99">
        <v>25.9142195121951</v>
      </c>
      <c r="OC67" s="99">
        <v>25.965673545966201</v>
      </c>
      <c r="OD67" s="99">
        <v>26.017127579737299</v>
      </c>
      <c r="OE67" s="99">
        <v>26.0685816135084</v>
      </c>
      <c r="OF67" s="99">
        <v>26.120035647279501</v>
      </c>
      <c r="OG67" s="99">
        <v>26.171489681050598</v>
      </c>
      <c r="OH67" s="99">
        <v>26.2229437148217</v>
      </c>
      <c r="OI67" s="99">
        <v>26.2743977485929</v>
      </c>
      <c r="OJ67" s="99">
        <v>26.325851782364001</v>
      </c>
      <c r="OK67" s="99">
        <v>26.377305816135099</v>
      </c>
      <c r="OL67" s="99">
        <v>26.4287598499062</v>
      </c>
      <c r="OM67" s="99">
        <v>26.480213883677301</v>
      </c>
      <c r="ON67" s="99">
        <v>26.531667917448399</v>
      </c>
      <c r="OO67" s="99">
        <v>26.5831219512195</v>
      </c>
      <c r="OP67" s="99">
        <v>26.634575984990601</v>
      </c>
      <c r="OQ67" s="99">
        <v>26.686030018761699</v>
      </c>
      <c r="OR67" s="99">
        <v>26.7374840525328</v>
      </c>
      <c r="OS67" s="99">
        <v>26.788938086303901</v>
      </c>
      <c r="OT67" s="99">
        <v>26.840392120074998</v>
      </c>
      <c r="OU67" s="99">
        <v>26.8918461538461</v>
      </c>
      <c r="OV67" s="99">
        <v>26.943300187617201</v>
      </c>
      <c r="OW67" s="99">
        <v>26.994754221388401</v>
      </c>
      <c r="OX67" s="99">
        <v>27.046208255159499</v>
      </c>
      <c r="OY67" s="99">
        <v>27.0976622889306</v>
      </c>
      <c r="OZ67" s="99">
        <v>27.149116322701701</v>
      </c>
      <c r="PA67" s="99">
        <v>27.200570356472799</v>
      </c>
      <c r="PB67" s="99">
        <v>27.2520243902439</v>
      </c>
      <c r="PC67" s="99">
        <v>27.303478424015001</v>
      </c>
      <c r="PD67" s="99">
        <v>27.354932457786099</v>
      </c>
      <c r="PE67" s="99">
        <v>27.4063864915572</v>
      </c>
      <c r="PF67" s="99">
        <v>27.457840525328301</v>
      </c>
      <c r="PG67" s="99">
        <v>27.509294559099398</v>
      </c>
      <c r="PH67" s="99">
        <v>27.5607485928705</v>
      </c>
      <c r="PI67" s="99">
        <v>27.612202626641601</v>
      </c>
      <c r="PJ67" s="99">
        <v>27.663656660412698</v>
      </c>
      <c r="PK67" s="99">
        <v>27.715110694183899</v>
      </c>
      <c r="PL67" s="99">
        <v>27.766564727955</v>
      </c>
      <c r="PM67" s="99">
        <v>27.818018761726101</v>
      </c>
      <c r="PN67" s="99">
        <v>27.869472795497199</v>
      </c>
      <c r="PO67" s="99">
        <v>27.9209268292683</v>
      </c>
      <c r="PP67" s="99">
        <v>27.972380863039401</v>
      </c>
      <c r="PQ67" s="99">
        <v>28.023834896810499</v>
      </c>
      <c r="PR67" s="99">
        <v>28.0752889305816</v>
      </c>
      <c r="PS67" s="99">
        <v>28.126742964352701</v>
      </c>
      <c r="PT67" s="99">
        <v>28.178196998123799</v>
      </c>
      <c r="PU67" s="99">
        <v>28.2296510318949</v>
      </c>
      <c r="PV67" s="99">
        <v>28.281105065666001</v>
      </c>
      <c r="PW67" s="99">
        <v>28.332559099437098</v>
      </c>
      <c r="PX67" s="99">
        <v>28.3840131332082</v>
      </c>
      <c r="PY67" s="99">
        <v>28.4354671669794</v>
      </c>
      <c r="PZ67" s="99">
        <v>28.486921200750501</v>
      </c>
      <c r="QA67" s="99">
        <v>28.538375234521599</v>
      </c>
      <c r="QB67" s="99">
        <v>28.5898292682927</v>
      </c>
      <c r="QC67" s="99">
        <v>28.641283302063801</v>
      </c>
      <c r="QD67" s="99">
        <v>28.692737335834899</v>
      </c>
      <c r="QE67" s="99">
        <v>28.744191369606</v>
      </c>
      <c r="QF67" s="99">
        <v>28.795645403377101</v>
      </c>
      <c r="QG67" s="99">
        <v>28.847099437148199</v>
      </c>
      <c r="QH67" s="99">
        <v>28.8985534709193</v>
      </c>
      <c r="QI67" s="99">
        <v>28.950007504690401</v>
      </c>
      <c r="QJ67" s="99">
        <v>29.001461538461498</v>
      </c>
      <c r="QK67" s="99">
        <v>29.0529155722326</v>
      </c>
      <c r="QL67" s="99">
        <v>29.104369606003701</v>
      </c>
      <c r="QM67" s="99">
        <v>29.155823639774798</v>
      </c>
      <c r="QN67" s="99">
        <v>29.207277673545999</v>
      </c>
      <c r="QO67" s="99">
        <v>29.2587317073171</v>
      </c>
      <c r="QP67" s="99">
        <v>29.310185741088201</v>
      </c>
      <c r="QQ67" s="99">
        <v>29.361639774859299</v>
      </c>
      <c r="QR67" s="99">
        <v>29.4130938086304</v>
      </c>
      <c r="QS67" s="99">
        <v>29.464547842401501</v>
      </c>
      <c r="QT67" s="99">
        <v>29.516001876172599</v>
      </c>
      <c r="QU67" s="99">
        <v>29.5674559099437</v>
      </c>
      <c r="QV67" s="99">
        <v>29.618909943714801</v>
      </c>
      <c r="QW67" s="99">
        <v>29.670363977485898</v>
      </c>
      <c r="QX67" s="99">
        <v>29.721818011257</v>
      </c>
      <c r="QY67" s="99">
        <v>29.773272045028101</v>
      </c>
      <c r="QZ67" s="99">
        <v>29.824726078799198</v>
      </c>
      <c r="RA67" s="99">
        <v>29.876180112570299</v>
      </c>
      <c r="RB67" s="99">
        <v>29.9276341463415</v>
      </c>
      <c r="RC67" s="99">
        <v>29.979088180112601</v>
      </c>
      <c r="RD67" s="99">
        <v>30.030542213883699</v>
      </c>
      <c r="RE67" s="99">
        <v>30.0819962476548</v>
      </c>
      <c r="RF67" s="99">
        <v>30.133450281425901</v>
      </c>
      <c r="RG67" s="99">
        <v>30.184904315196999</v>
      </c>
      <c r="RH67" s="99">
        <v>30.2363583489681</v>
      </c>
      <c r="RI67" s="99">
        <v>30.287812382739201</v>
      </c>
      <c r="RJ67" s="99">
        <v>30.339266416510299</v>
      </c>
      <c r="RK67" s="99">
        <v>30.3907204502814</v>
      </c>
      <c r="RL67" s="99">
        <v>30.442174484052501</v>
      </c>
      <c r="RM67" s="99">
        <v>30.493628517823598</v>
      </c>
      <c r="RN67" s="99">
        <v>30.5450825515947</v>
      </c>
      <c r="RO67" s="99">
        <v>30.596536585365801</v>
      </c>
      <c r="RP67" s="99">
        <v>30.647990619136898</v>
      </c>
      <c r="RQ67" s="99">
        <v>30.699444652908099</v>
      </c>
      <c r="RR67" s="99">
        <v>30.7508986866792</v>
      </c>
      <c r="RS67" s="99">
        <v>30.802352720450301</v>
      </c>
      <c r="RT67" s="99">
        <v>30.853806754221399</v>
      </c>
      <c r="RU67" s="99">
        <v>30.9052607879925</v>
      </c>
      <c r="RV67" s="99">
        <v>30.956714821763601</v>
      </c>
      <c r="RW67" s="99">
        <v>31.008168855534699</v>
      </c>
      <c r="RX67" s="99">
        <v>31.0596228893058</v>
      </c>
      <c r="RY67" s="99">
        <v>31.111076923076901</v>
      </c>
      <c r="RZ67" s="99">
        <v>31.162530956847998</v>
      </c>
      <c r="SA67" s="99">
        <v>31.2139849906191</v>
      </c>
      <c r="SB67" s="99">
        <v>31.265439024390201</v>
      </c>
      <c r="SC67" s="99">
        <v>31.316893058161298</v>
      </c>
      <c r="SD67" s="99">
        <v>31.368347091932399</v>
      </c>
      <c r="SE67" s="99">
        <v>31.4198011257036</v>
      </c>
      <c r="SF67" s="99">
        <v>31.471255159474701</v>
      </c>
      <c r="SG67" s="99">
        <v>31.522709193245799</v>
      </c>
      <c r="SH67" s="99">
        <v>31.5741632270169</v>
      </c>
      <c r="SI67" s="99">
        <v>31.625617260788001</v>
      </c>
      <c r="SJ67" s="99">
        <v>31.677071294559099</v>
      </c>
      <c r="SK67" s="99">
        <v>31.7285253283302</v>
      </c>
      <c r="SL67" s="99">
        <v>31.779979362101301</v>
      </c>
      <c r="SM67" s="99">
        <v>31.831433395872399</v>
      </c>
      <c r="SN67" s="99">
        <v>31.8828874296435</v>
      </c>
      <c r="SO67" s="99">
        <v>31.934341463414601</v>
      </c>
      <c r="SP67" s="99">
        <v>31.985795497185698</v>
      </c>
      <c r="SQ67" s="99">
        <v>32.0372495309568</v>
      </c>
      <c r="SR67" s="99">
        <v>32.088703564727901</v>
      </c>
      <c r="SS67" s="99">
        <v>32.140157598499002</v>
      </c>
      <c r="ST67" s="99">
        <v>32.191611632270202</v>
      </c>
      <c r="SU67" s="99">
        <v>32.243065666041304</v>
      </c>
      <c r="SV67" s="99">
        <v>32.294519699812398</v>
      </c>
      <c r="SW67" s="99">
        <v>32.345973733583499</v>
      </c>
      <c r="SX67" s="99">
        <v>32.3974277673546</v>
      </c>
      <c r="SY67" s="99">
        <v>32.448881801125701</v>
      </c>
      <c r="SZ67" s="99">
        <v>32.500335834896802</v>
      </c>
      <c r="TA67" s="99">
        <v>32.551789868667903</v>
      </c>
      <c r="TB67" s="99">
        <v>32.603243902438997</v>
      </c>
      <c r="TC67" s="99">
        <v>32.654697936210098</v>
      </c>
      <c r="TD67" s="99">
        <v>32.7061519699812</v>
      </c>
      <c r="TE67" s="99">
        <v>32.757606003752301</v>
      </c>
      <c r="TF67" s="99">
        <v>32.809060037523402</v>
      </c>
      <c r="TG67" s="99">
        <v>32.860514071294503</v>
      </c>
      <c r="TH67" s="99">
        <v>32.911968105065696</v>
      </c>
      <c r="TI67" s="99">
        <v>32.963422138836798</v>
      </c>
      <c r="TJ67" s="99">
        <v>33.014876172607899</v>
      </c>
      <c r="TK67" s="99">
        <v>33.066330206379</v>
      </c>
      <c r="TL67" s="99">
        <v>33.117784240150101</v>
      </c>
      <c r="TM67" s="99">
        <v>33.169238273921202</v>
      </c>
      <c r="TN67" s="99">
        <v>33.220692307692303</v>
      </c>
      <c r="TO67" s="99">
        <v>33.272146341463397</v>
      </c>
      <c r="TP67" s="99">
        <v>33.323600375234498</v>
      </c>
      <c r="TQ67" s="99">
        <v>33.3750544090056</v>
      </c>
      <c r="TR67" s="99">
        <v>33.426508442776701</v>
      </c>
      <c r="TS67" s="99">
        <v>33.477962476547802</v>
      </c>
      <c r="TT67" s="99">
        <v>33.529416510318903</v>
      </c>
      <c r="TU67" s="99">
        <v>33.580870544089997</v>
      </c>
      <c r="TV67" s="99">
        <v>33.632324577861198</v>
      </c>
      <c r="TW67" s="99">
        <v>33.683778611632299</v>
      </c>
      <c r="TX67" s="99">
        <v>33.7352326454034</v>
      </c>
      <c r="TY67" s="99">
        <v>33.786686679174501</v>
      </c>
      <c r="TZ67" s="99">
        <v>33.838140712945602</v>
      </c>
      <c r="UA67" s="99">
        <v>33.889594746716703</v>
      </c>
      <c r="UB67" s="99">
        <v>33.941048780487797</v>
      </c>
      <c r="UC67" s="99">
        <v>33.992502814258899</v>
      </c>
      <c r="UD67" s="99">
        <v>34.04395684803</v>
      </c>
      <c r="UE67" s="99">
        <v>34.095410881801101</v>
      </c>
      <c r="UF67" s="99">
        <v>34.146864915572202</v>
      </c>
      <c r="UG67" s="99">
        <v>34.198318949343303</v>
      </c>
      <c r="UH67" s="99">
        <v>34.249772983114397</v>
      </c>
      <c r="UI67" s="99">
        <v>34.301227016885498</v>
      </c>
      <c r="UJ67" s="99">
        <v>34.352681050656599</v>
      </c>
      <c r="UK67" s="99">
        <v>34.4041350844278</v>
      </c>
      <c r="UL67" s="99">
        <v>34.455589118198901</v>
      </c>
      <c r="UM67" s="99">
        <v>34.507043151970002</v>
      </c>
      <c r="UN67" s="99">
        <v>34.558497185741103</v>
      </c>
      <c r="UO67" s="99">
        <v>34.609951219512197</v>
      </c>
      <c r="UP67" s="99">
        <v>34.661405253283299</v>
      </c>
      <c r="UQ67" s="99">
        <v>34.7128592870544</v>
      </c>
      <c r="UR67" s="99">
        <v>34.764313320825501</v>
      </c>
      <c r="US67" s="99">
        <v>34.815767354596602</v>
      </c>
      <c r="UT67" s="99">
        <v>34.867221388367703</v>
      </c>
    </row>
    <row r="68" spans="1:566" x14ac:dyDescent="0.2">
      <c r="A68" s="89">
        <v>31</v>
      </c>
      <c r="B68" s="90">
        <v>5.79</v>
      </c>
      <c r="C68" s="90">
        <v>5.85</v>
      </c>
      <c r="D68" s="90">
        <v>5.9</v>
      </c>
      <c r="E68" s="90">
        <v>5.95</v>
      </c>
      <c r="F68" s="90">
        <v>6</v>
      </c>
      <c r="G68" s="90">
        <v>6.05</v>
      </c>
      <c r="H68" s="90">
        <v>6.1</v>
      </c>
      <c r="I68" s="90">
        <v>6.15</v>
      </c>
      <c r="J68" s="90">
        <v>6.2</v>
      </c>
      <c r="K68" s="90">
        <v>6.25</v>
      </c>
      <c r="L68" s="90">
        <v>6.31</v>
      </c>
      <c r="M68" s="90">
        <v>6.36</v>
      </c>
      <c r="N68" s="90">
        <v>6.41</v>
      </c>
      <c r="O68" s="90">
        <v>6.46</v>
      </c>
      <c r="P68" s="90">
        <v>6.51</v>
      </c>
      <c r="Q68" s="90">
        <v>6.56</v>
      </c>
      <c r="R68" s="90">
        <v>6.61</v>
      </c>
      <c r="S68" s="90">
        <v>6.66</v>
      </c>
      <c r="T68" s="90">
        <v>6.71</v>
      </c>
      <c r="U68" s="91">
        <v>6.77</v>
      </c>
      <c r="V68" s="90">
        <v>6.82</v>
      </c>
      <c r="W68" s="90">
        <v>6.87</v>
      </c>
      <c r="X68" s="90">
        <v>6.92</v>
      </c>
      <c r="Y68" s="90">
        <v>6.97</v>
      </c>
      <c r="Z68" s="90">
        <v>7.02</v>
      </c>
      <c r="AA68" s="90">
        <v>7.07</v>
      </c>
      <c r="AB68" s="90">
        <v>7.12</v>
      </c>
      <c r="AC68" s="90">
        <v>7.17</v>
      </c>
      <c r="AD68" s="90">
        <v>7.23</v>
      </c>
      <c r="AE68" s="90">
        <v>7.28</v>
      </c>
      <c r="AF68" s="90">
        <v>7.33</v>
      </c>
      <c r="AG68" s="90">
        <v>7.38</v>
      </c>
      <c r="AH68" s="90">
        <v>7.43</v>
      </c>
      <c r="AI68" s="90">
        <v>7.48</v>
      </c>
      <c r="AJ68" s="90">
        <v>7.53</v>
      </c>
      <c r="AK68" s="90">
        <v>7.58</v>
      </c>
      <c r="AL68" s="90">
        <v>7.63</v>
      </c>
      <c r="AM68" s="90">
        <v>7.69</v>
      </c>
      <c r="AN68" s="90">
        <v>7.74</v>
      </c>
      <c r="AO68" s="91">
        <v>7.79</v>
      </c>
      <c r="AP68" s="90">
        <v>7.8390384615384701</v>
      </c>
      <c r="AQ68" s="90">
        <v>7.8901500938086304</v>
      </c>
      <c r="AR68" s="90">
        <v>7.9412617260787997</v>
      </c>
      <c r="AS68" s="90">
        <v>7.9923733583489698</v>
      </c>
      <c r="AT68" s="90">
        <v>8.0434849906191399</v>
      </c>
      <c r="AU68" s="90">
        <v>8.0945966228893091</v>
      </c>
      <c r="AV68" s="90">
        <v>8.1457082551594802</v>
      </c>
      <c r="AW68" s="90">
        <v>8.1968198874296494</v>
      </c>
      <c r="AX68" s="90">
        <v>8.2479315196998204</v>
      </c>
      <c r="AY68" s="90">
        <v>8.2990431519699808</v>
      </c>
      <c r="AZ68" s="90">
        <v>8.35015478424015</v>
      </c>
      <c r="BA68" s="90">
        <v>8.4012664165103192</v>
      </c>
      <c r="BB68" s="90">
        <v>8.4523780487804903</v>
      </c>
      <c r="BC68" s="90">
        <v>8.5034896810506595</v>
      </c>
      <c r="BD68" s="90">
        <v>8.5546013133208305</v>
      </c>
      <c r="BE68" s="90">
        <v>8.6057129455909998</v>
      </c>
      <c r="BF68" s="90">
        <v>8.6568245778611708</v>
      </c>
      <c r="BG68" s="90">
        <v>8.70793621013134</v>
      </c>
      <c r="BH68" s="90">
        <v>8.7590478424015004</v>
      </c>
      <c r="BI68" s="91">
        <v>8.8101594746716696</v>
      </c>
      <c r="BJ68" s="90">
        <v>8.8612711069418406</v>
      </c>
      <c r="BK68" s="99">
        <v>8.9123827392120099</v>
      </c>
      <c r="BL68" s="99">
        <v>8.9634943714821809</v>
      </c>
      <c r="BM68" s="99">
        <v>9.0146060037523501</v>
      </c>
      <c r="BN68" s="99">
        <v>9.0657176360225193</v>
      </c>
      <c r="BO68" s="99">
        <v>9.1168292682926904</v>
      </c>
      <c r="BP68" s="99">
        <v>9.1679409005628596</v>
      </c>
      <c r="BQ68" s="99">
        <v>9.21905253283302</v>
      </c>
      <c r="BR68" s="99">
        <v>9.2701641651031892</v>
      </c>
      <c r="BS68" s="99">
        <v>9.3212757973733602</v>
      </c>
      <c r="BT68" s="99">
        <v>9.3723874296435294</v>
      </c>
      <c r="BU68" s="99">
        <v>9.4234990619137005</v>
      </c>
      <c r="BV68" s="99">
        <v>9.4746106941838697</v>
      </c>
      <c r="BW68" s="99">
        <v>9.5257223264540407</v>
      </c>
      <c r="BX68" s="99">
        <v>9.5768339587242099</v>
      </c>
      <c r="BY68" s="99">
        <v>9.6279455909943792</v>
      </c>
      <c r="BZ68" s="99">
        <v>9.6790572232645395</v>
      </c>
      <c r="CA68" s="99">
        <v>9.7301688555347106</v>
      </c>
      <c r="CB68" s="99">
        <v>9.7812804878048798</v>
      </c>
      <c r="CC68" s="99">
        <v>9.8323921200750508</v>
      </c>
      <c r="CD68" s="99">
        <v>9.8835037523452201</v>
      </c>
      <c r="CE68" s="99">
        <v>9.9346153846153893</v>
      </c>
      <c r="CF68" s="99">
        <v>9.9857270168855603</v>
      </c>
      <c r="CG68" s="99">
        <v>10.036838649155699</v>
      </c>
      <c r="CH68" s="99">
        <v>10.087950281425901</v>
      </c>
      <c r="CI68" s="99">
        <v>10.1390619136961</v>
      </c>
      <c r="CJ68" s="99">
        <v>10.1901735459662</v>
      </c>
      <c r="CK68" s="99">
        <v>10.241285178236399</v>
      </c>
      <c r="CL68" s="99">
        <v>10.292396810506601</v>
      </c>
      <c r="CM68" s="99">
        <v>10.343508442776701</v>
      </c>
      <c r="CN68" s="99">
        <v>10.3946200750469</v>
      </c>
      <c r="CO68" s="99">
        <v>10.445731707317099</v>
      </c>
      <c r="CP68" s="99">
        <v>10.496843339587199</v>
      </c>
      <c r="CQ68" s="99">
        <v>10.547954971857401</v>
      </c>
      <c r="CR68" s="99">
        <v>10.5990666041276</v>
      </c>
      <c r="CS68" s="99">
        <v>10.6501782363977</v>
      </c>
      <c r="CT68" s="99">
        <v>10.701289868667899</v>
      </c>
      <c r="CU68" s="99">
        <v>10.752401500938101</v>
      </c>
      <c r="CV68" s="99">
        <v>10.8035131332083</v>
      </c>
      <c r="CW68" s="99">
        <v>10.8546247654784</v>
      </c>
      <c r="CX68" s="99">
        <v>10.905736397748599</v>
      </c>
      <c r="CY68" s="99">
        <v>10.956848030018801</v>
      </c>
      <c r="CZ68" s="99">
        <v>11.007959662288901</v>
      </c>
      <c r="DA68" s="99">
        <v>11.0590712945591</v>
      </c>
      <c r="DB68" s="99">
        <v>11.1101829268293</v>
      </c>
      <c r="DC68" s="99">
        <v>11.161294559099399</v>
      </c>
      <c r="DD68" s="99">
        <v>11.212406191369601</v>
      </c>
      <c r="DE68" s="99">
        <v>11.2635178236398</v>
      </c>
      <c r="DF68" s="99">
        <v>11.3146294559099</v>
      </c>
      <c r="DG68" s="99">
        <v>11.3657410881801</v>
      </c>
      <c r="DH68" s="99">
        <v>11.416852720450301</v>
      </c>
      <c r="DI68" s="99">
        <v>11.4679643527205</v>
      </c>
      <c r="DJ68" s="99">
        <v>11.5190759849906</v>
      </c>
      <c r="DK68" s="99">
        <v>11.5701876172608</v>
      </c>
      <c r="DL68" s="99">
        <v>11.621299249531001</v>
      </c>
      <c r="DM68" s="99">
        <v>11.672410881801101</v>
      </c>
      <c r="DN68" s="99">
        <v>11.7235225140713</v>
      </c>
      <c r="DO68" s="99">
        <v>11.7746341463415</v>
      </c>
      <c r="DP68" s="99">
        <v>11.8257457786116</v>
      </c>
      <c r="DQ68" s="99">
        <v>11.876857410881801</v>
      </c>
      <c r="DR68" s="99">
        <v>11.927969043152</v>
      </c>
      <c r="DS68" s="99">
        <v>11.9790806754221</v>
      </c>
      <c r="DT68" s="99">
        <v>12.0301923076923</v>
      </c>
      <c r="DU68" s="99">
        <v>12.081303939962501</v>
      </c>
      <c r="DV68" s="99">
        <v>12.132415572232601</v>
      </c>
      <c r="DW68" s="99">
        <v>12.1835272045028</v>
      </c>
      <c r="DX68" s="99">
        <v>12.234638836773</v>
      </c>
      <c r="DY68" s="99">
        <v>12.285750469043199</v>
      </c>
      <c r="DZ68" s="99">
        <v>12.336862101313301</v>
      </c>
      <c r="EA68" s="99">
        <v>12.3879737335835</v>
      </c>
      <c r="EB68" s="99">
        <v>12.4390853658537</v>
      </c>
      <c r="EC68" s="99">
        <v>12.4901969981238</v>
      </c>
      <c r="ED68" s="99">
        <v>12.541308630393999</v>
      </c>
      <c r="EE68" s="99">
        <v>12.5924202626642</v>
      </c>
      <c r="EF68" s="99">
        <v>12.6435318949343</v>
      </c>
      <c r="EG68" s="99">
        <v>12.6946435272045</v>
      </c>
      <c r="EH68" s="99">
        <v>12.745755159474699</v>
      </c>
      <c r="EI68" s="99">
        <v>12.796866791744799</v>
      </c>
      <c r="EJ68" s="99">
        <v>12.847978424015</v>
      </c>
      <c r="EK68" s="99">
        <v>12.8990900562852</v>
      </c>
      <c r="EL68" s="99">
        <v>12.9502016885553</v>
      </c>
      <c r="EM68" s="99">
        <v>13.001313320825499</v>
      </c>
      <c r="EN68" s="99">
        <v>13.0524249530957</v>
      </c>
      <c r="EO68" s="99">
        <v>13.1035365853659</v>
      </c>
      <c r="EP68" s="99">
        <v>13.154648217636</v>
      </c>
      <c r="EQ68" s="99">
        <v>13.205759849906199</v>
      </c>
      <c r="ER68" s="99">
        <v>13.2568714821764</v>
      </c>
      <c r="ES68" s="99">
        <v>13.3079831144465</v>
      </c>
      <c r="ET68" s="99">
        <v>13.3590947467167</v>
      </c>
      <c r="EU68" s="99">
        <v>13.410206378986899</v>
      </c>
      <c r="EV68" s="99">
        <v>13.461318011256999</v>
      </c>
      <c r="EW68" s="99">
        <v>13.5124296435272</v>
      </c>
      <c r="EX68" s="99">
        <v>13.5635412757974</v>
      </c>
      <c r="EY68" s="99">
        <v>13.6146529080675</v>
      </c>
      <c r="EZ68" s="99">
        <v>13.665764540337699</v>
      </c>
      <c r="FA68" s="99">
        <v>13.7168761726079</v>
      </c>
      <c r="FB68" s="99">
        <v>13.7679878048781</v>
      </c>
      <c r="FC68" s="99">
        <v>13.8190994371482</v>
      </c>
      <c r="FD68" s="99">
        <v>13.870211069418399</v>
      </c>
      <c r="FE68" s="99">
        <v>13.921322701688601</v>
      </c>
      <c r="FF68" s="99">
        <v>13.9724343339587</v>
      </c>
      <c r="FG68" s="99">
        <v>14.0235459662289</v>
      </c>
      <c r="FH68" s="99">
        <v>14.074657598499099</v>
      </c>
      <c r="FI68" s="99">
        <v>14.125769230769199</v>
      </c>
      <c r="FJ68" s="99">
        <v>14.176880863039401</v>
      </c>
      <c r="FK68" s="99">
        <v>14.2279924953096</v>
      </c>
      <c r="FL68" s="99">
        <v>14.2791041275797</v>
      </c>
      <c r="FM68" s="99">
        <v>14.330215759849899</v>
      </c>
      <c r="FN68" s="99">
        <v>14.381327392120101</v>
      </c>
      <c r="FO68" s="99">
        <v>14.432439024390201</v>
      </c>
      <c r="FP68" s="99">
        <v>14.4835506566604</v>
      </c>
      <c r="FQ68" s="99">
        <v>14.534662288930599</v>
      </c>
      <c r="FR68" s="99">
        <v>14.585773921200801</v>
      </c>
      <c r="FS68" s="99">
        <v>14.636885553470901</v>
      </c>
      <c r="FT68" s="99">
        <v>14.6879971857411</v>
      </c>
      <c r="FU68" s="99">
        <v>14.739108818011299</v>
      </c>
      <c r="FV68" s="99">
        <v>14.790220450281399</v>
      </c>
      <c r="FW68" s="99">
        <v>14.841332082551601</v>
      </c>
      <c r="FX68" s="99">
        <v>14.8924437148218</v>
      </c>
      <c r="FY68" s="99">
        <v>14.9435553470919</v>
      </c>
      <c r="FZ68" s="99">
        <v>14.994666979362099</v>
      </c>
      <c r="GA68" s="99">
        <v>15.045778611632301</v>
      </c>
      <c r="GB68" s="99">
        <v>15.096890243902401</v>
      </c>
      <c r="GC68" s="99">
        <v>15.1480018761726</v>
      </c>
      <c r="GD68" s="99">
        <v>15.1991135084428</v>
      </c>
      <c r="GE68" s="99">
        <v>15.250225140712899</v>
      </c>
      <c r="GF68" s="99">
        <v>15.301336772983101</v>
      </c>
      <c r="GG68" s="99">
        <v>15.3524484052533</v>
      </c>
      <c r="GH68" s="99">
        <v>15.4035600375235</v>
      </c>
      <c r="GI68" s="99">
        <v>15.4546716697936</v>
      </c>
      <c r="GJ68" s="99">
        <v>15.505783302063801</v>
      </c>
      <c r="GK68" s="99">
        <v>15.556894934334</v>
      </c>
      <c r="GL68" s="99">
        <v>15.6080065666041</v>
      </c>
      <c r="GM68" s="99">
        <v>15.6591181988743</v>
      </c>
      <c r="GN68" s="99">
        <v>15.710229831144501</v>
      </c>
      <c r="GO68" s="99">
        <v>15.761341463414601</v>
      </c>
      <c r="GP68" s="99">
        <v>15.8124530956848</v>
      </c>
      <c r="GQ68" s="99">
        <v>15.863564727955</v>
      </c>
      <c r="GR68" s="99">
        <v>15.9146763602251</v>
      </c>
      <c r="GS68" s="99">
        <v>15.965787992495301</v>
      </c>
      <c r="GT68" s="99">
        <v>16.0168996247655</v>
      </c>
      <c r="GU68" s="99">
        <v>16.0680112570356</v>
      </c>
      <c r="GV68" s="99">
        <v>16.1191228893058</v>
      </c>
      <c r="GW68" s="99">
        <v>16.170234521575999</v>
      </c>
      <c r="GX68" s="99">
        <v>16.221346153846198</v>
      </c>
      <c r="GY68" s="99">
        <v>16.272457786116298</v>
      </c>
      <c r="GZ68" s="99">
        <v>16.323569418386501</v>
      </c>
      <c r="HA68" s="99">
        <v>16.374681050656701</v>
      </c>
      <c r="HB68" s="99">
        <v>16.425792682926801</v>
      </c>
      <c r="HC68" s="99">
        <v>16.476904315197</v>
      </c>
      <c r="HD68" s="99">
        <v>16.5280159474672</v>
      </c>
      <c r="HE68" s="99">
        <v>16.5791275797373</v>
      </c>
      <c r="HF68" s="99">
        <v>16.630239212007499</v>
      </c>
      <c r="HG68" s="99">
        <v>16.681350844277699</v>
      </c>
      <c r="HH68" s="99">
        <v>16.732462476547799</v>
      </c>
      <c r="HI68" s="99">
        <v>16.783574108818001</v>
      </c>
      <c r="HJ68" s="99">
        <v>16.834685741088201</v>
      </c>
      <c r="HK68" s="99">
        <v>16.885797373358301</v>
      </c>
      <c r="HL68" s="99">
        <v>16.9369090056285</v>
      </c>
      <c r="HM68" s="99">
        <v>16.9880206378987</v>
      </c>
      <c r="HN68" s="99">
        <v>17.039132270168899</v>
      </c>
      <c r="HO68" s="99">
        <v>17.090243902438999</v>
      </c>
      <c r="HP68" s="99">
        <v>17.141355534709199</v>
      </c>
      <c r="HQ68" s="99">
        <v>17.192467166979402</v>
      </c>
      <c r="HR68" s="99">
        <v>17.243578799249502</v>
      </c>
      <c r="HS68" s="99">
        <v>17.294690431519701</v>
      </c>
      <c r="HT68" s="99">
        <v>17.3458020637899</v>
      </c>
      <c r="HU68" s="99">
        <v>17.39691369606</v>
      </c>
      <c r="HV68" s="99">
        <v>17.4480253283302</v>
      </c>
      <c r="HW68" s="99">
        <v>17.499136960600399</v>
      </c>
      <c r="HX68" s="99">
        <v>17.550248592870499</v>
      </c>
      <c r="HY68" s="99">
        <v>17.601360225140699</v>
      </c>
      <c r="HZ68" s="99">
        <v>17.652471857410902</v>
      </c>
      <c r="IA68" s="99">
        <v>17.703583489681002</v>
      </c>
      <c r="IB68" s="99">
        <v>17.754695121951201</v>
      </c>
      <c r="IC68" s="99">
        <v>17.8058067542214</v>
      </c>
      <c r="ID68" s="99">
        <v>17.8569183864916</v>
      </c>
      <c r="IE68" s="99">
        <v>17.9080300187617</v>
      </c>
      <c r="IF68" s="99">
        <v>17.959141651031899</v>
      </c>
      <c r="IG68" s="99">
        <v>18.010253283302099</v>
      </c>
      <c r="IH68" s="99">
        <v>18.061364915572199</v>
      </c>
      <c r="II68" s="99">
        <v>18.112476547842402</v>
      </c>
      <c r="IJ68" s="99">
        <v>18.163588180112601</v>
      </c>
      <c r="IK68" s="99">
        <v>18.214699812382701</v>
      </c>
      <c r="IL68" s="99">
        <v>18.265811444652901</v>
      </c>
      <c r="IM68" s="99">
        <v>18.3169230769231</v>
      </c>
      <c r="IN68" s="99">
        <v>18.3680347091932</v>
      </c>
      <c r="IO68" s="99">
        <v>18.419146341463399</v>
      </c>
      <c r="IP68" s="99">
        <v>18.470257973733599</v>
      </c>
      <c r="IQ68" s="99">
        <v>18.521369606003699</v>
      </c>
      <c r="IR68" s="99">
        <v>18.572481238273902</v>
      </c>
      <c r="IS68" s="99">
        <v>18.623592870544101</v>
      </c>
      <c r="IT68" s="99">
        <v>18.674704502814301</v>
      </c>
      <c r="IU68" s="99">
        <v>18.725816135084401</v>
      </c>
      <c r="IV68" s="99">
        <v>18.7769277673546</v>
      </c>
      <c r="IW68" s="99">
        <v>18.828039399624799</v>
      </c>
      <c r="IX68" s="99">
        <v>18.879151031894899</v>
      </c>
      <c r="IY68" s="99">
        <v>18.930262664165099</v>
      </c>
      <c r="IZ68" s="99">
        <v>18.981374296435298</v>
      </c>
      <c r="JA68" s="99">
        <v>19.032485928705398</v>
      </c>
      <c r="JB68" s="99">
        <v>19.083597560975601</v>
      </c>
      <c r="JC68" s="99">
        <v>19.134709193245801</v>
      </c>
      <c r="JD68" s="99">
        <v>19.185820825515901</v>
      </c>
      <c r="JE68" s="99">
        <v>19.2369324577861</v>
      </c>
      <c r="JF68" s="99">
        <v>19.288044090056299</v>
      </c>
      <c r="JG68" s="99">
        <v>19.339155722326499</v>
      </c>
      <c r="JH68" s="99">
        <v>19.390267354596599</v>
      </c>
      <c r="JI68" s="99">
        <v>19.441378986866798</v>
      </c>
      <c r="JJ68" s="99">
        <v>19.492490619137001</v>
      </c>
      <c r="JK68" s="99">
        <v>19.543602251407101</v>
      </c>
      <c r="JL68" s="99">
        <v>19.594713883677301</v>
      </c>
      <c r="JM68" s="99">
        <v>19.6458255159475</v>
      </c>
      <c r="JN68" s="99">
        <v>19.6969371482176</v>
      </c>
      <c r="JO68" s="99">
        <v>19.7480487804878</v>
      </c>
      <c r="JP68" s="99">
        <v>19.799160412757999</v>
      </c>
      <c r="JQ68" s="99">
        <v>19.850272045028099</v>
      </c>
      <c r="JR68" s="99">
        <v>19.901383677298298</v>
      </c>
      <c r="JS68" s="99">
        <v>19.952495309568501</v>
      </c>
      <c r="JT68" s="99">
        <v>20.003606941838601</v>
      </c>
      <c r="JU68" s="99">
        <v>20.054718574108801</v>
      </c>
      <c r="JV68" s="99">
        <v>20.105830206379</v>
      </c>
      <c r="JW68" s="99">
        <v>20.1569418386492</v>
      </c>
      <c r="JX68" s="99">
        <v>20.2080534709193</v>
      </c>
      <c r="JY68" s="99">
        <v>20.259165103189499</v>
      </c>
      <c r="JZ68" s="99">
        <v>20.310276735459698</v>
      </c>
      <c r="KA68" s="99">
        <v>20.361388367729798</v>
      </c>
      <c r="KB68" s="99">
        <v>20.412500000000001</v>
      </c>
      <c r="KC68" s="99">
        <v>20.463611632270201</v>
      </c>
      <c r="KD68" s="99">
        <v>20.514723264540301</v>
      </c>
      <c r="KE68" s="99">
        <v>20.5658348968105</v>
      </c>
      <c r="KF68" s="99">
        <v>20.6169465290807</v>
      </c>
      <c r="KG68" s="99">
        <v>20.6680581613508</v>
      </c>
      <c r="KH68" s="99">
        <v>20.719169793620999</v>
      </c>
      <c r="KI68" s="99">
        <v>20.770281425891199</v>
      </c>
      <c r="KJ68" s="99">
        <v>20.821393058161298</v>
      </c>
      <c r="KK68" s="99">
        <v>20.872504690431501</v>
      </c>
      <c r="KL68" s="99">
        <v>20.923616322701701</v>
      </c>
      <c r="KM68" s="99">
        <v>20.9747279549719</v>
      </c>
      <c r="KN68" s="99">
        <v>21.025839587242</v>
      </c>
      <c r="KO68" s="99">
        <v>21.0769512195122</v>
      </c>
      <c r="KP68" s="99">
        <v>21.128062851782399</v>
      </c>
      <c r="KQ68" s="99">
        <v>21.179174484052499</v>
      </c>
      <c r="KR68" s="99">
        <v>21.230286116322699</v>
      </c>
      <c r="KS68" s="99">
        <v>21.281397748592902</v>
      </c>
      <c r="KT68" s="99">
        <v>21.332509380863002</v>
      </c>
      <c r="KU68" s="99">
        <v>21.383621013133201</v>
      </c>
      <c r="KV68" s="99">
        <v>21.4347326454034</v>
      </c>
      <c r="KW68" s="99">
        <v>21.4858442776735</v>
      </c>
      <c r="KX68" s="99">
        <v>21.5369559099437</v>
      </c>
      <c r="KY68" s="99">
        <v>21.588067542213899</v>
      </c>
      <c r="KZ68" s="99">
        <v>21.639179174484099</v>
      </c>
      <c r="LA68" s="99">
        <v>21.690290806754199</v>
      </c>
      <c r="LB68" s="99">
        <v>21.741402439024402</v>
      </c>
      <c r="LC68" s="99">
        <v>21.792514071294601</v>
      </c>
      <c r="LD68" s="99">
        <v>21.843625703564701</v>
      </c>
      <c r="LE68" s="99">
        <v>21.8947373358349</v>
      </c>
      <c r="LF68" s="99">
        <v>21.9458489681051</v>
      </c>
      <c r="LG68" s="99">
        <v>21.9969606003752</v>
      </c>
      <c r="LH68" s="99">
        <v>22.048072232645399</v>
      </c>
      <c r="LI68" s="99">
        <v>22.099183864915599</v>
      </c>
      <c r="LJ68" s="99">
        <v>22.150295497185699</v>
      </c>
      <c r="LK68" s="99">
        <v>22.201407129455902</v>
      </c>
      <c r="LL68" s="99">
        <v>22.252518761726101</v>
      </c>
      <c r="LM68" s="99">
        <v>22.303630393996201</v>
      </c>
      <c r="LN68" s="99">
        <v>22.354742026266401</v>
      </c>
      <c r="LO68" s="99">
        <v>22.4058536585366</v>
      </c>
      <c r="LP68" s="99">
        <v>22.456965290806799</v>
      </c>
      <c r="LQ68" s="99">
        <v>22.508076923076899</v>
      </c>
      <c r="LR68" s="99">
        <v>22.559188555347099</v>
      </c>
      <c r="LS68" s="99">
        <v>22.610300187617302</v>
      </c>
      <c r="LT68" s="99">
        <v>22.661411819887402</v>
      </c>
      <c r="LU68" s="99">
        <v>22.712523452157601</v>
      </c>
      <c r="LV68" s="99">
        <v>22.763635084427801</v>
      </c>
      <c r="LW68" s="99">
        <v>22.814746716697901</v>
      </c>
      <c r="LX68" s="99">
        <v>22.8658583489681</v>
      </c>
      <c r="LY68" s="99">
        <v>22.916969981238299</v>
      </c>
      <c r="LZ68" s="99">
        <v>22.968081613508399</v>
      </c>
      <c r="MA68" s="99">
        <v>23.019193245778599</v>
      </c>
      <c r="MB68" s="99">
        <v>23.070304878048798</v>
      </c>
      <c r="MC68" s="99">
        <v>23.121416510318902</v>
      </c>
      <c r="MD68" s="99">
        <v>23.172528142589101</v>
      </c>
      <c r="ME68" s="99">
        <v>23.223639774859301</v>
      </c>
      <c r="MF68" s="99">
        <v>23.2747514071295</v>
      </c>
      <c r="MG68" s="99">
        <v>23.3258630393996</v>
      </c>
      <c r="MH68" s="99">
        <v>23.376974671669799</v>
      </c>
      <c r="MI68" s="99">
        <v>23.428086303939999</v>
      </c>
      <c r="MJ68" s="99">
        <v>23.479197936210099</v>
      </c>
      <c r="MK68" s="99">
        <v>23.530309568480298</v>
      </c>
      <c r="ML68" s="99">
        <v>23.581421200750501</v>
      </c>
      <c r="MM68" s="99">
        <v>23.632532833020601</v>
      </c>
      <c r="MN68" s="99">
        <v>23.683644465290801</v>
      </c>
      <c r="MO68" s="99">
        <v>23.734756097561</v>
      </c>
      <c r="MP68" s="99">
        <v>23.7858677298311</v>
      </c>
      <c r="MQ68" s="99">
        <v>23.8369793621013</v>
      </c>
      <c r="MR68" s="99">
        <v>23.888090994371499</v>
      </c>
      <c r="MS68" s="99">
        <v>23.939202626641599</v>
      </c>
      <c r="MT68" s="99">
        <v>23.990314258911798</v>
      </c>
      <c r="MU68" s="99">
        <v>24.041425891182001</v>
      </c>
      <c r="MV68" s="99">
        <v>24.092537523452201</v>
      </c>
      <c r="MW68" s="99">
        <v>24.143649155722301</v>
      </c>
      <c r="MX68" s="99">
        <v>24.1947607879925</v>
      </c>
      <c r="MY68" s="99">
        <v>24.2458724202627</v>
      </c>
      <c r="MZ68" s="99">
        <v>24.2969840525328</v>
      </c>
      <c r="NA68" s="99">
        <v>24.348095684802999</v>
      </c>
      <c r="NB68" s="99">
        <v>24.399207317073198</v>
      </c>
      <c r="NC68" s="99">
        <v>24.450318949343298</v>
      </c>
      <c r="ND68" s="99">
        <v>24.501430581613501</v>
      </c>
      <c r="NE68" s="99">
        <v>24.552542213883701</v>
      </c>
      <c r="NF68" s="99">
        <v>24.603653846153801</v>
      </c>
      <c r="NG68" s="99">
        <v>24.654765478424</v>
      </c>
      <c r="NH68" s="99">
        <v>24.7058771106942</v>
      </c>
      <c r="NI68" s="99">
        <v>24.756988742964399</v>
      </c>
      <c r="NJ68" s="99">
        <v>24.808100375234499</v>
      </c>
      <c r="NK68" s="99">
        <v>24.859212007504699</v>
      </c>
      <c r="NL68" s="99">
        <v>24.910323639774901</v>
      </c>
      <c r="NM68" s="99">
        <v>24.961435272045001</v>
      </c>
      <c r="NN68" s="99">
        <v>25.012546904315201</v>
      </c>
      <c r="NO68" s="99">
        <v>25.0636585365854</v>
      </c>
      <c r="NP68" s="99">
        <v>25.1147701688555</v>
      </c>
      <c r="NQ68" s="99">
        <v>25.1658818011257</v>
      </c>
      <c r="NR68" s="99">
        <v>25.216993433395899</v>
      </c>
      <c r="NS68" s="99">
        <v>25.268105065665999</v>
      </c>
      <c r="NT68" s="99">
        <v>25.319216697936199</v>
      </c>
      <c r="NU68" s="99">
        <v>25.370328330206402</v>
      </c>
      <c r="NV68" s="99">
        <v>25.421439962476502</v>
      </c>
      <c r="NW68" s="99">
        <v>25.472551594746701</v>
      </c>
      <c r="NX68" s="99">
        <v>25.5236632270169</v>
      </c>
      <c r="NY68" s="99">
        <v>25.5747748592871</v>
      </c>
      <c r="NZ68" s="99">
        <v>25.6258864915572</v>
      </c>
      <c r="OA68" s="99">
        <v>25.676998123827399</v>
      </c>
      <c r="OB68" s="99">
        <v>25.728109756097599</v>
      </c>
      <c r="OC68" s="99">
        <v>25.779221388367699</v>
      </c>
      <c r="OD68" s="99">
        <v>25.830333020637902</v>
      </c>
      <c r="OE68" s="99">
        <v>25.881444652908101</v>
      </c>
      <c r="OF68" s="99">
        <v>25.932556285178201</v>
      </c>
      <c r="OG68" s="99">
        <v>25.9836679174484</v>
      </c>
      <c r="OH68" s="99">
        <v>26.0347795497186</v>
      </c>
      <c r="OI68" s="99">
        <v>26.0858911819887</v>
      </c>
      <c r="OJ68" s="99">
        <v>26.137002814258899</v>
      </c>
      <c r="OK68" s="99">
        <v>26.188114446529099</v>
      </c>
      <c r="OL68" s="99">
        <v>26.239226078799199</v>
      </c>
      <c r="OM68" s="99">
        <v>26.290337711069402</v>
      </c>
      <c r="ON68" s="99">
        <v>26.341449343339601</v>
      </c>
      <c r="OO68" s="99">
        <v>26.392560975609801</v>
      </c>
      <c r="OP68" s="99">
        <v>26.4436726078799</v>
      </c>
      <c r="OQ68" s="99">
        <v>26.4947842401501</v>
      </c>
      <c r="OR68" s="99">
        <v>26.545895872420299</v>
      </c>
      <c r="OS68" s="99">
        <v>26.597007504690399</v>
      </c>
      <c r="OT68" s="99">
        <v>26.648119136960599</v>
      </c>
      <c r="OU68" s="99">
        <v>26.699230769230802</v>
      </c>
      <c r="OV68" s="99">
        <v>26.750342401500902</v>
      </c>
      <c r="OW68" s="99">
        <v>26.801454033771101</v>
      </c>
      <c r="OX68" s="99">
        <v>26.852565666041301</v>
      </c>
      <c r="OY68" s="99">
        <v>26.903677298311401</v>
      </c>
      <c r="OZ68" s="99">
        <v>26.9547889305816</v>
      </c>
      <c r="PA68" s="99">
        <v>27.005900562851799</v>
      </c>
      <c r="PB68" s="99">
        <v>27.057012195121999</v>
      </c>
      <c r="PC68" s="99">
        <v>27.108123827392099</v>
      </c>
      <c r="PD68" s="99">
        <v>27.159235459662298</v>
      </c>
      <c r="PE68" s="99">
        <v>27.210347091932501</v>
      </c>
      <c r="PF68" s="99">
        <v>27.261458724202601</v>
      </c>
      <c r="PG68" s="99">
        <v>27.312570356472801</v>
      </c>
      <c r="PH68" s="99">
        <v>27.363681988743</v>
      </c>
      <c r="PI68" s="99">
        <v>27.4147936210131</v>
      </c>
      <c r="PJ68" s="99">
        <v>27.465905253283299</v>
      </c>
      <c r="PK68" s="99">
        <v>27.517016885553499</v>
      </c>
      <c r="PL68" s="99">
        <v>27.568128517823599</v>
      </c>
      <c r="PM68" s="99">
        <v>27.619240150093798</v>
      </c>
      <c r="PN68" s="99">
        <v>27.670351782364001</v>
      </c>
      <c r="PO68" s="99">
        <v>27.721463414634101</v>
      </c>
      <c r="PP68" s="99">
        <v>27.772575046904301</v>
      </c>
      <c r="PQ68" s="99">
        <v>27.8236866791745</v>
      </c>
      <c r="PR68" s="99">
        <v>27.8747983114447</v>
      </c>
      <c r="PS68" s="99">
        <v>27.9259099437148</v>
      </c>
      <c r="PT68" s="99">
        <v>27.977021575984999</v>
      </c>
      <c r="PU68" s="99">
        <v>28.028133208255198</v>
      </c>
      <c r="PV68" s="99">
        <v>28.079244840525298</v>
      </c>
      <c r="PW68" s="99">
        <v>28.130356472795501</v>
      </c>
      <c r="PX68" s="99">
        <v>28.181468105065701</v>
      </c>
      <c r="PY68" s="99">
        <v>28.232579737335801</v>
      </c>
      <c r="PZ68" s="99">
        <v>28.283691369606</v>
      </c>
      <c r="QA68" s="99">
        <v>28.3348030018762</v>
      </c>
      <c r="QB68" s="99">
        <v>28.3859146341463</v>
      </c>
      <c r="QC68" s="99">
        <v>28.437026266416499</v>
      </c>
      <c r="QD68" s="99">
        <v>28.488137898686698</v>
      </c>
      <c r="QE68" s="99">
        <v>28.539249530956798</v>
      </c>
      <c r="QF68" s="99">
        <v>28.590361163227001</v>
      </c>
      <c r="QG68" s="99">
        <v>28.641472795497201</v>
      </c>
      <c r="QH68" s="99">
        <v>28.6925844277674</v>
      </c>
      <c r="QI68" s="99">
        <v>28.7436960600375</v>
      </c>
      <c r="QJ68" s="99">
        <v>28.7948076923077</v>
      </c>
      <c r="QK68" s="99">
        <v>28.845919324577899</v>
      </c>
      <c r="QL68" s="99">
        <v>28.897030956847999</v>
      </c>
      <c r="QM68" s="99">
        <v>28.948142589118198</v>
      </c>
      <c r="QN68" s="99">
        <v>28.999254221388401</v>
      </c>
      <c r="QO68" s="99">
        <v>29.050365853658501</v>
      </c>
      <c r="QP68" s="99">
        <v>29.101477485928701</v>
      </c>
      <c r="QQ68" s="99">
        <v>29.1525891181989</v>
      </c>
      <c r="QR68" s="99">
        <v>29.203700750469</v>
      </c>
      <c r="QS68" s="99">
        <v>29.2548123827392</v>
      </c>
      <c r="QT68" s="99">
        <v>29.305924015009399</v>
      </c>
      <c r="QU68" s="99">
        <v>29.357035647279599</v>
      </c>
      <c r="QV68" s="99">
        <v>29.408147279549699</v>
      </c>
      <c r="QW68" s="99">
        <v>29.459258911819902</v>
      </c>
      <c r="QX68" s="99">
        <v>29.510370544090101</v>
      </c>
      <c r="QY68" s="99">
        <v>29.561482176360201</v>
      </c>
      <c r="QZ68" s="99">
        <v>29.6125938086304</v>
      </c>
      <c r="RA68" s="99">
        <v>29.6637054409006</v>
      </c>
      <c r="RB68" s="99">
        <v>29.7148170731707</v>
      </c>
      <c r="RC68" s="99">
        <v>29.765928705440899</v>
      </c>
      <c r="RD68" s="99">
        <v>29.817040337711099</v>
      </c>
      <c r="RE68" s="99">
        <v>29.868151969981199</v>
      </c>
      <c r="RF68" s="99">
        <v>29.919263602251402</v>
      </c>
      <c r="RG68" s="99">
        <v>29.970375234521601</v>
      </c>
      <c r="RH68" s="99">
        <v>30.021486866791701</v>
      </c>
      <c r="RI68" s="99">
        <v>30.0725984990619</v>
      </c>
      <c r="RJ68" s="99">
        <v>30.1237101313321</v>
      </c>
      <c r="RK68" s="99">
        <v>30.174821763602299</v>
      </c>
      <c r="RL68" s="99">
        <v>30.225933395872399</v>
      </c>
      <c r="RM68" s="99">
        <v>30.277045028142599</v>
      </c>
      <c r="RN68" s="99">
        <v>30.328156660412802</v>
      </c>
      <c r="RO68" s="99">
        <v>30.379268292682902</v>
      </c>
      <c r="RP68" s="99">
        <v>30.430379924953101</v>
      </c>
      <c r="RQ68" s="99">
        <v>30.481491557223301</v>
      </c>
      <c r="RR68" s="99">
        <v>30.5326031894934</v>
      </c>
      <c r="RS68" s="99">
        <v>30.5837148217636</v>
      </c>
      <c r="RT68" s="99">
        <v>30.634826454033799</v>
      </c>
      <c r="RU68" s="99">
        <v>30.685938086303899</v>
      </c>
      <c r="RV68" s="99">
        <v>30.737049718574099</v>
      </c>
      <c r="RW68" s="99">
        <v>30.788161350844302</v>
      </c>
      <c r="RX68" s="99">
        <v>30.839272983114402</v>
      </c>
      <c r="RY68" s="99">
        <v>30.890384615384601</v>
      </c>
      <c r="RZ68" s="99">
        <v>30.941496247654801</v>
      </c>
      <c r="SA68" s="99">
        <v>30.992607879925</v>
      </c>
      <c r="SB68" s="99">
        <v>31.0437195121951</v>
      </c>
      <c r="SC68" s="99">
        <v>31.094831144465299</v>
      </c>
      <c r="SD68" s="99">
        <v>31.145942776735499</v>
      </c>
      <c r="SE68" s="99">
        <v>31.197054409005599</v>
      </c>
      <c r="SF68" s="99">
        <v>31.248166041275802</v>
      </c>
      <c r="SG68" s="99">
        <v>31.299277673546001</v>
      </c>
      <c r="SH68" s="99">
        <v>31.350389305816101</v>
      </c>
      <c r="SI68" s="99">
        <v>31.401500938086301</v>
      </c>
      <c r="SJ68" s="99">
        <v>31.4526125703565</v>
      </c>
      <c r="SK68" s="99">
        <v>31.5037242026266</v>
      </c>
      <c r="SL68" s="99">
        <v>31.554835834896799</v>
      </c>
      <c r="SM68" s="99">
        <v>31.605947467166999</v>
      </c>
      <c r="SN68" s="99">
        <v>31.657059099437198</v>
      </c>
      <c r="SO68" s="99">
        <v>31.708170731707298</v>
      </c>
      <c r="SP68" s="99">
        <v>31.759282363977501</v>
      </c>
      <c r="SQ68" s="99">
        <v>31.810393996247701</v>
      </c>
      <c r="SR68" s="99">
        <v>31.861505628517801</v>
      </c>
      <c r="SS68" s="99">
        <v>31.912617260788</v>
      </c>
      <c r="ST68" s="99">
        <v>31.9637288930582</v>
      </c>
      <c r="SU68" s="99">
        <v>32.014840525328303</v>
      </c>
      <c r="SV68" s="99">
        <v>32.065952157598502</v>
      </c>
      <c r="SW68" s="99">
        <v>32.117063789868702</v>
      </c>
      <c r="SX68" s="99">
        <v>32.168175422138802</v>
      </c>
      <c r="SY68" s="99">
        <v>32.219287054409001</v>
      </c>
      <c r="SZ68" s="99">
        <v>32.270398686679201</v>
      </c>
      <c r="TA68" s="99">
        <v>32.321510318949301</v>
      </c>
      <c r="TB68" s="99">
        <v>32.3726219512195</v>
      </c>
      <c r="TC68" s="99">
        <v>32.4237335834897</v>
      </c>
      <c r="TD68" s="99">
        <v>32.474845215759899</v>
      </c>
      <c r="TE68" s="99">
        <v>32.525956848029999</v>
      </c>
      <c r="TF68" s="99">
        <v>32.577068480300198</v>
      </c>
      <c r="TG68" s="99">
        <v>32.628180112570398</v>
      </c>
      <c r="TH68" s="99">
        <v>32.679291744840498</v>
      </c>
      <c r="TI68" s="99">
        <v>32.730403377110697</v>
      </c>
      <c r="TJ68" s="99">
        <v>32.781515009380897</v>
      </c>
      <c r="TK68" s="99">
        <v>32.832626641650997</v>
      </c>
      <c r="TL68" s="99">
        <v>32.883738273921203</v>
      </c>
      <c r="TM68" s="99">
        <v>32.934849906191403</v>
      </c>
      <c r="TN68" s="99">
        <v>32.985961538461503</v>
      </c>
      <c r="TO68" s="99">
        <v>33.037073170731702</v>
      </c>
      <c r="TP68" s="99">
        <v>33.088184803001901</v>
      </c>
      <c r="TQ68" s="99">
        <v>33.139296435272001</v>
      </c>
      <c r="TR68" s="99">
        <v>33.190408067542201</v>
      </c>
      <c r="TS68" s="99">
        <v>33.2415196998124</v>
      </c>
      <c r="TT68" s="99">
        <v>33.2926313320826</v>
      </c>
      <c r="TU68" s="99">
        <v>33.3437429643527</v>
      </c>
      <c r="TV68" s="99">
        <v>33.394854596622899</v>
      </c>
      <c r="TW68" s="99">
        <v>33.445966228893099</v>
      </c>
      <c r="TX68" s="99">
        <v>33.497077861163199</v>
      </c>
      <c r="TY68" s="99">
        <v>33.548189493433398</v>
      </c>
      <c r="TZ68" s="99">
        <v>33.599301125703597</v>
      </c>
      <c r="UA68" s="99">
        <v>33.650412757973697</v>
      </c>
      <c r="UB68" s="99">
        <v>33.701524390243897</v>
      </c>
      <c r="UC68" s="99">
        <v>33.752636022514103</v>
      </c>
      <c r="UD68" s="99">
        <v>33.803747654784203</v>
      </c>
      <c r="UE68" s="99">
        <v>33.854859287054403</v>
      </c>
      <c r="UF68" s="99">
        <v>33.905970919324602</v>
      </c>
      <c r="UG68" s="99">
        <v>33.957082551594802</v>
      </c>
      <c r="UH68" s="99">
        <v>34.008194183864902</v>
      </c>
      <c r="UI68" s="99">
        <v>34.059305816135101</v>
      </c>
      <c r="UJ68" s="99">
        <v>34.1104174484053</v>
      </c>
      <c r="UK68" s="99">
        <v>34.1615290806754</v>
      </c>
      <c r="UL68" s="99">
        <v>34.2126407129456</v>
      </c>
      <c r="UM68" s="99">
        <v>34.263752345215799</v>
      </c>
      <c r="UN68" s="99">
        <v>34.314863977485899</v>
      </c>
      <c r="UO68" s="99">
        <v>34.365975609756099</v>
      </c>
      <c r="UP68" s="99">
        <v>34.417087242026298</v>
      </c>
      <c r="UQ68" s="99">
        <v>34.468198874296398</v>
      </c>
      <c r="UR68" s="99">
        <v>34.519310506566597</v>
      </c>
      <c r="US68" s="99">
        <v>34.570422138836797</v>
      </c>
      <c r="UT68" s="99">
        <v>34.621533771106897</v>
      </c>
    </row>
    <row r="69" spans="1:566" x14ac:dyDescent="0.2">
      <c r="A69" s="89">
        <v>31.5</v>
      </c>
      <c r="B69" s="90">
        <v>5.74</v>
      </c>
      <c r="C69" s="90">
        <v>5.79</v>
      </c>
      <c r="D69" s="90">
        <v>5.84</v>
      </c>
      <c r="E69" s="90">
        <v>5.9</v>
      </c>
      <c r="F69" s="90">
        <v>5.95</v>
      </c>
      <c r="G69" s="90">
        <v>6</v>
      </c>
      <c r="H69" s="90">
        <v>6.05</v>
      </c>
      <c r="I69" s="90">
        <v>6.1</v>
      </c>
      <c r="J69" s="90">
        <v>6.15</v>
      </c>
      <c r="K69" s="90">
        <v>6.2</v>
      </c>
      <c r="L69" s="90">
        <v>6.25</v>
      </c>
      <c r="M69" s="90">
        <v>6.3</v>
      </c>
      <c r="N69" s="90">
        <v>6.35</v>
      </c>
      <c r="O69" s="90">
        <v>6.4</v>
      </c>
      <c r="P69" s="90">
        <v>6.45</v>
      </c>
      <c r="Q69" s="90">
        <v>6.5</v>
      </c>
      <c r="R69" s="90">
        <v>6.55</v>
      </c>
      <c r="S69" s="90">
        <v>6.61</v>
      </c>
      <c r="T69" s="90">
        <v>6.66</v>
      </c>
      <c r="U69" s="91">
        <v>6.71</v>
      </c>
      <c r="V69" s="90">
        <v>6.76</v>
      </c>
      <c r="W69" s="90">
        <v>6.81</v>
      </c>
      <c r="X69" s="90">
        <v>6.86</v>
      </c>
      <c r="Y69" s="90">
        <v>6.91</v>
      </c>
      <c r="Z69" s="90">
        <v>6.96</v>
      </c>
      <c r="AA69" s="90">
        <v>7.01</v>
      </c>
      <c r="AB69" s="90">
        <v>7.06</v>
      </c>
      <c r="AC69" s="90">
        <v>7.11</v>
      </c>
      <c r="AD69" s="90">
        <v>7.16</v>
      </c>
      <c r="AE69" s="90">
        <v>7.21</v>
      </c>
      <c r="AF69" s="90">
        <v>7.27</v>
      </c>
      <c r="AG69" s="90">
        <v>7.32</v>
      </c>
      <c r="AH69" s="90">
        <v>7.37</v>
      </c>
      <c r="AI69" s="90">
        <v>7.42</v>
      </c>
      <c r="AJ69" s="90">
        <v>7.47</v>
      </c>
      <c r="AK69" s="90">
        <v>7.52</v>
      </c>
      <c r="AL69" s="90">
        <v>7.57</v>
      </c>
      <c r="AM69" s="90">
        <v>7.62</v>
      </c>
      <c r="AN69" s="90">
        <v>7.67</v>
      </c>
      <c r="AO69" s="91">
        <v>7.72</v>
      </c>
      <c r="AP69" s="90">
        <v>7.7729230769230799</v>
      </c>
      <c r="AQ69" s="90">
        <v>7.82367542213884</v>
      </c>
      <c r="AR69" s="90">
        <v>7.8744277673545904</v>
      </c>
      <c r="AS69" s="90">
        <v>7.9251801125703603</v>
      </c>
      <c r="AT69" s="90">
        <v>7.9759324577861204</v>
      </c>
      <c r="AU69" s="90">
        <v>8.0266848030018707</v>
      </c>
      <c r="AV69" s="90">
        <v>8.0774371482176406</v>
      </c>
      <c r="AW69" s="90">
        <v>8.1281894934333998</v>
      </c>
      <c r="AX69" s="90">
        <v>8.1789418386491608</v>
      </c>
      <c r="AY69" s="90">
        <v>8.2296941838649094</v>
      </c>
      <c r="AZ69" s="90">
        <v>8.2804465290806792</v>
      </c>
      <c r="BA69" s="90">
        <v>8.3311988742964296</v>
      </c>
      <c r="BB69" s="90">
        <v>8.3819512195121995</v>
      </c>
      <c r="BC69" s="90">
        <v>8.4327035647279605</v>
      </c>
      <c r="BD69" s="90">
        <v>8.4834559099437108</v>
      </c>
      <c r="BE69" s="90">
        <v>8.5342082551594807</v>
      </c>
      <c r="BF69" s="90">
        <v>8.5849606003752399</v>
      </c>
      <c r="BG69" s="90">
        <v>8.6357129455909991</v>
      </c>
      <c r="BH69" s="90">
        <v>8.6864652908067495</v>
      </c>
      <c r="BI69" s="91">
        <v>8.7372176360225193</v>
      </c>
      <c r="BJ69" s="90">
        <v>8.7879699812382697</v>
      </c>
      <c r="BK69" s="99">
        <v>8.8387223264540395</v>
      </c>
      <c r="BL69" s="99">
        <v>8.8894746716698005</v>
      </c>
      <c r="BM69" s="99">
        <v>8.9402270168855509</v>
      </c>
      <c r="BN69" s="99">
        <v>8.9909793621013208</v>
      </c>
      <c r="BO69" s="99">
        <v>9.04173170731708</v>
      </c>
      <c r="BP69" s="99">
        <v>9.0924840525328392</v>
      </c>
      <c r="BQ69" s="99">
        <v>9.1432363977485895</v>
      </c>
      <c r="BR69" s="99">
        <v>9.1939887429643594</v>
      </c>
      <c r="BS69" s="99">
        <v>9.2447410881801204</v>
      </c>
      <c r="BT69" s="99">
        <v>9.2954934333958796</v>
      </c>
      <c r="BU69" s="99">
        <v>9.3462457786116406</v>
      </c>
      <c r="BV69" s="99">
        <v>9.3969981238273892</v>
      </c>
      <c r="BW69" s="99">
        <v>9.4477504690431608</v>
      </c>
      <c r="BX69" s="99">
        <v>9.4985028142589094</v>
      </c>
      <c r="BY69" s="99">
        <v>9.5492551594746793</v>
      </c>
      <c r="BZ69" s="99">
        <v>9.6000075046904296</v>
      </c>
      <c r="CA69" s="99">
        <v>9.6507598499061995</v>
      </c>
      <c r="CB69" s="99">
        <v>9.7015121951219605</v>
      </c>
      <c r="CC69" s="99">
        <v>9.7522645403377197</v>
      </c>
      <c r="CD69" s="99">
        <v>9.8030168855534807</v>
      </c>
      <c r="CE69" s="99">
        <v>9.8537692307692293</v>
      </c>
      <c r="CF69" s="99">
        <v>9.9045215759849992</v>
      </c>
      <c r="CG69" s="99">
        <v>9.9552739212007602</v>
      </c>
      <c r="CH69" s="99">
        <v>10.0060262664165</v>
      </c>
      <c r="CI69" s="99">
        <v>10.0567786116323</v>
      </c>
      <c r="CJ69" s="99">
        <v>10.107530956848001</v>
      </c>
      <c r="CK69" s="99">
        <v>10.158283302063801</v>
      </c>
      <c r="CL69" s="99">
        <v>10.209035647279499</v>
      </c>
      <c r="CM69" s="99">
        <v>10.259787992495299</v>
      </c>
      <c r="CN69" s="99">
        <v>10.3105403377111</v>
      </c>
      <c r="CO69" s="99">
        <v>10.3612926829268</v>
      </c>
      <c r="CP69" s="99">
        <v>10.4120450281426</v>
      </c>
      <c r="CQ69" s="99">
        <v>10.462797373358301</v>
      </c>
      <c r="CR69" s="99">
        <v>10.513549718574099</v>
      </c>
      <c r="CS69" s="99">
        <v>10.564302063789899</v>
      </c>
      <c r="CT69" s="99">
        <v>10.6150544090056</v>
      </c>
      <c r="CU69" s="99">
        <v>10.6658067542214</v>
      </c>
      <c r="CV69" s="99">
        <v>10.7165590994371</v>
      </c>
      <c r="CW69" s="99">
        <v>10.767311444652901</v>
      </c>
      <c r="CX69" s="99">
        <v>10.818063789868701</v>
      </c>
      <c r="CY69" s="99">
        <v>10.868816135084399</v>
      </c>
      <c r="CZ69" s="99">
        <v>10.9195684803002</v>
      </c>
      <c r="DA69" s="99">
        <v>10.9703208255159</v>
      </c>
      <c r="DB69" s="99">
        <v>11.0210731707317</v>
      </c>
      <c r="DC69" s="99">
        <v>11.0718255159475</v>
      </c>
      <c r="DD69" s="99">
        <v>11.122577861163199</v>
      </c>
      <c r="DE69" s="99">
        <v>11.173330206378999</v>
      </c>
      <c r="DF69" s="99">
        <v>11.2240825515947</v>
      </c>
      <c r="DG69" s="99">
        <v>11.2748348968105</v>
      </c>
      <c r="DH69" s="99">
        <v>11.3255872420263</v>
      </c>
      <c r="DI69" s="99">
        <v>11.376339587242001</v>
      </c>
      <c r="DJ69" s="99">
        <v>11.427091932457801</v>
      </c>
      <c r="DK69" s="99">
        <v>11.477844277673499</v>
      </c>
      <c r="DL69" s="99">
        <v>11.5285966228893</v>
      </c>
      <c r="DM69" s="99">
        <v>11.5793489681051</v>
      </c>
      <c r="DN69" s="99">
        <v>11.6301013133208</v>
      </c>
      <c r="DO69" s="99">
        <v>11.6808536585366</v>
      </c>
      <c r="DP69" s="99">
        <v>11.731606003752299</v>
      </c>
      <c r="DQ69" s="99">
        <v>11.782358348968099</v>
      </c>
      <c r="DR69" s="99">
        <v>11.833110694183899</v>
      </c>
      <c r="DS69" s="99">
        <v>11.8838630393996</v>
      </c>
      <c r="DT69" s="99">
        <v>11.9346153846154</v>
      </c>
      <c r="DU69" s="99">
        <v>11.985367729831101</v>
      </c>
      <c r="DV69" s="99">
        <v>12.036120075046901</v>
      </c>
      <c r="DW69" s="99">
        <v>12.086872420262701</v>
      </c>
      <c r="DX69" s="99">
        <v>12.1376247654784</v>
      </c>
      <c r="DY69" s="99">
        <v>12.1883771106942</v>
      </c>
      <c r="DZ69" s="99">
        <v>12.2391294559099</v>
      </c>
      <c r="EA69" s="99">
        <v>12.2898818011257</v>
      </c>
      <c r="EB69" s="99">
        <v>12.3406341463415</v>
      </c>
      <c r="EC69" s="99">
        <v>12.391386491557199</v>
      </c>
      <c r="ED69" s="99">
        <v>12.442138836772999</v>
      </c>
      <c r="EE69" s="99">
        <v>12.4928911819887</v>
      </c>
      <c r="EF69" s="99">
        <v>12.5436435272045</v>
      </c>
      <c r="EG69" s="99">
        <v>12.5943958724203</v>
      </c>
      <c r="EH69" s="99">
        <v>12.645148217636001</v>
      </c>
      <c r="EI69" s="99">
        <v>12.695900562851801</v>
      </c>
      <c r="EJ69" s="99">
        <v>12.7466529080675</v>
      </c>
      <c r="EK69" s="99">
        <v>12.7974052532833</v>
      </c>
      <c r="EL69" s="99">
        <v>12.8481575984991</v>
      </c>
      <c r="EM69" s="99">
        <v>12.8989099437148</v>
      </c>
      <c r="EN69" s="99">
        <v>12.9496622889306</v>
      </c>
      <c r="EO69" s="99">
        <v>13.000414634146299</v>
      </c>
      <c r="EP69" s="99">
        <v>13.051166979362099</v>
      </c>
      <c r="EQ69" s="99">
        <v>13.101919324577899</v>
      </c>
      <c r="ER69" s="99">
        <v>13.1526716697936</v>
      </c>
      <c r="ES69" s="99">
        <v>13.2034240150094</v>
      </c>
      <c r="ET69" s="99">
        <v>13.254176360225101</v>
      </c>
      <c r="EU69" s="99">
        <v>13.304928705440901</v>
      </c>
      <c r="EV69" s="99">
        <v>13.355681050656701</v>
      </c>
      <c r="EW69" s="99">
        <v>13.4064333958724</v>
      </c>
      <c r="EX69" s="99">
        <v>13.4571857410882</v>
      </c>
      <c r="EY69" s="99">
        <v>13.5079380863039</v>
      </c>
      <c r="EZ69" s="99">
        <v>13.5586904315197</v>
      </c>
      <c r="FA69" s="99">
        <v>13.6094427767355</v>
      </c>
      <c r="FB69" s="99">
        <v>13.660195121951199</v>
      </c>
      <c r="FC69" s="99">
        <v>13.710947467166999</v>
      </c>
      <c r="FD69" s="99">
        <v>13.7616998123827</v>
      </c>
      <c r="FE69" s="99">
        <v>13.8124521575985</v>
      </c>
      <c r="FF69" s="99">
        <v>13.8632045028143</v>
      </c>
      <c r="FG69" s="99">
        <v>13.913956848030001</v>
      </c>
      <c r="FH69" s="99">
        <v>13.964709193245801</v>
      </c>
      <c r="FI69" s="99">
        <v>14.0154615384615</v>
      </c>
      <c r="FJ69" s="99">
        <v>14.0662138836773</v>
      </c>
      <c r="FK69" s="99">
        <v>14.1169662288931</v>
      </c>
      <c r="FL69" s="99">
        <v>14.1677185741088</v>
      </c>
      <c r="FM69" s="99">
        <v>14.2184709193246</v>
      </c>
      <c r="FN69" s="99">
        <v>14.269223264540299</v>
      </c>
      <c r="FO69" s="99">
        <v>14.319975609756099</v>
      </c>
      <c r="FP69" s="99">
        <v>14.370727954971899</v>
      </c>
      <c r="FQ69" s="99">
        <v>14.4214803001876</v>
      </c>
      <c r="FR69" s="99">
        <v>14.4722326454034</v>
      </c>
      <c r="FS69" s="99">
        <v>14.522984990619101</v>
      </c>
      <c r="FT69" s="99">
        <v>14.573737335834901</v>
      </c>
      <c r="FU69" s="99">
        <v>14.624489681050701</v>
      </c>
      <c r="FV69" s="99">
        <v>14.6752420262664</v>
      </c>
      <c r="FW69" s="99">
        <v>14.7259943714822</v>
      </c>
      <c r="FX69" s="99">
        <v>14.7767467166979</v>
      </c>
      <c r="FY69" s="99">
        <v>14.8274990619137</v>
      </c>
      <c r="FZ69" s="99">
        <v>14.8782514071295</v>
      </c>
      <c r="GA69" s="99">
        <v>14.929003752345199</v>
      </c>
      <c r="GB69" s="99">
        <v>14.979756097560999</v>
      </c>
      <c r="GC69" s="99">
        <v>15.0305084427767</v>
      </c>
      <c r="GD69" s="99">
        <v>15.0812607879925</v>
      </c>
      <c r="GE69" s="99">
        <v>15.1320131332083</v>
      </c>
      <c r="GF69" s="99">
        <v>15.182765478424001</v>
      </c>
      <c r="GG69" s="99">
        <v>15.233517823639801</v>
      </c>
      <c r="GH69" s="99">
        <v>15.2842701688555</v>
      </c>
      <c r="GI69" s="99">
        <v>15.3350225140713</v>
      </c>
      <c r="GJ69" s="99">
        <v>15.3857748592871</v>
      </c>
      <c r="GK69" s="99">
        <v>15.4365272045028</v>
      </c>
      <c r="GL69" s="99">
        <v>15.4872795497186</v>
      </c>
      <c r="GM69" s="99">
        <v>15.538031894934299</v>
      </c>
      <c r="GN69" s="99">
        <v>15.588784240150099</v>
      </c>
      <c r="GO69" s="99">
        <v>15.639536585365899</v>
      </c>
      <c r="GP69" s="99">
        <v>15.6902889305816</v>
      </c>
      <c r="GQ69" s="99">
        <v>15.7410412757974</v>
      </c>
      <c r="GR69" s="99">
        <v>15.791793621013101</v>
      </c>
      <c r="GS69" s="99">
        <v>15.842545966228901</v>
      </c>
      <c r="GT69" s="99">
        <v>15.893298311444701</v>
      </c>
      <c r="GU69" s="99">
        <v>15.9440506566604</v>
      </c>
      <c r="GV69" s="99">
        <v>15.9948030018762</v>
      </c>
      <c r="GW69" s="99">
        <v>16.045555347091899</v>
      </c>
      <c r="GX69" s="99">
        <v>16.0963076923077</v>
      </c>
      <c r="GY69" s="99">
        <v>16.147060037523499</v>
      </c>
      <c r="GZ69" s="99">
        <v>16.197812382739201</v>
      </c>
      <c r="HA69" s="99">
        <v>16.248564727954999</v>
      </c>
      <c r="HB69" s="99">
        <v>16.299317073170702</v>
      </c>
      <c r="HC69" s="99">
        <v>16.3500694183865</v>
      </c>
      <c r="HD69" s="99">
        <v>16.400821763602298</v>
      </c>
      <c r="HE69" s="99">
        <v>16.451574108818001</v>
      </c>
      <c r="HF69" s="99">
        <v>16.502326454033799</v>
      </c>
      <c r="HG69" s="99">
        <v>16.553078799249501</v>
      </c>
      <c r="HH69" s="99">
        <v>16.6038311444653</v>
      </c>
      <c r="HI69" s="99">
        <v>16.654583489681102</v>
      </c>
      <c r="HJ69" s="99">
        <v>16.7053358348968</v>
      </c>
      <c r="HK69" s="99">
        <v>16.756088180112599</v>
      </c>
      <c r="HL69" s="99">
        <v>16.806840525328301</v>
      </c>
      <c r="HM69" s="99">
        <v>16.857592870544099</v>
      </c>
      <c r="HN69" s="99">
        <v>16.908345215759901</v>
      </c>
      <c r="HO69" s="99">
        <v>16.9590975609756</v>
      </c>
      <c r="HP69" s="99">
        <v>17.009849906191398</v>
      </c>
      <c r="HQ69" s="99">
        <v>17.060602251407101</v>
      </c>
      <c r="HR69" s="99">
        <v>17.111354596622899</v>
      </c>
      <c r="HS69" s="99">
        <v>17.162106941838701</v>
      </c>
      <c r="HT69" s="99">
        <v>17.2128592870544</v>
      </c>
      <c r="HU69" s="99">
        <v>17.263611632270202</v>
      </c>
      <c r="HV69" s="99">
        <v>17.3143639774859</v>
      </c>
      <c r="HW69" s="99">
        <v>17.365116322701699</v>
      </c>
      <c r="HX69" s="99">
        <v>17.415868667917501</v>
      </c>
      <c r="HY69" s="99">
        <v>17.466621013133199</v>
      </c>
      <c r="HZ69" s="99">
        <v>17.517373358349001</v>
      </c>
      <c r="IA69" s="99">
        <v>17.5681257035647</v>
      </c>
      <c r="IB69" s="99">
        <v>17.618878048780498</v>
      </c>
      <c r="IC69" s="99">
        <v>17.6696303939963</v>
      </c>
      <c r="ID69" s="99">
        <v>17.720382739211999</v>
      </c>
      <c r="IE69" s="99">
        <v>17.771135084427801</v>
      </c>
      <c r="IF69" s="99">
        <v>17.8218874296435</v>
      </c>
      <c r="IG69" s="99">
        <v>17.872639774859302</v>
      </c>
      <c r="IH69" s="99">
        <v>17.9233921200751</v>
      </c>
      <c r="II69" s="99">
        <v>17.974144465290799</v>
      </c>
      <c r="IJ69" s="99">
        <v>18.024896810506601</v>
      </c>
      <c r="IK69" s="99">
        <v>18.075649155722299</v>
      </c>
      <c r="IL69" s="99">
        <v>18.126401500938101</v>
      </c>
      <c r="IM69" s="99">
        <v>18.1771538461539</v>
      </c>
      <c r="IN69" s="99">
        <v>18.227906191369598</v>
      </c>
      <c r="IO69" s="99">
        <v>18.2786585365854</v>
      </c>
      <c r="IP69" s="99">
        <v>18.329410881801099</v>
      </c>
      <c r="IQ69" s="99">
        <v>18.380163227016901</v>
      </c>
      <c r="IR69" s="99">
        <v>18.430915572232699</v>
      </c>
      <c r="IS69" s="99">
        <v>18.481667917448402</v>
      </c>
      <c r="IT69" s="99">
        <v>18.5324202626642</v>
      </c>
      <c r="IU69" s="99">
        <v>18.583172607879899</v>
      </c>
      <c r="IV69" s="99">
        <v>18.633924953095701</v>
      </c>
      <c r="IW69" s="99">
        <v>18.684677298311499</v>
      </c>
      <c r="IX69" s="99">
        <v>18.735429643527201</v>
      </c>
      <c r="IY69" s="99">
        <v>18.786181988742999</v>
      </c>
      <c r="IZ69" s="99">
        <v>18.836934333958698</v>
      </c>
      <c r="JA69" s="99">
        <v>18.8876866791745</v>
      </c>
      <c r="JB69" s="99">
        <v>18.938439024390298</v>
      </c>
      <c r="JC69" s="99">
        <v>18.989191369606001</v>
      </c>
      <c r="JD69" s="99">
        <v>19.039943714821799</v>
      </c>
      <c r="JE69" s="99">
        <v>19.090696060037502</v>
      </c>
      <c r="JF69" s="99">
        <v>19.1414484052533</v>
      </c>
      <c r="JG69" s="99">
        <v>19.192200750469102</v>
      </c>
      <c r="JH69" s="99">
        <v>19.242953095684801</v>
      </c>
      <c r="JI69" s="99">
        <v>19.293705440900599</v>
      </c>
      <c r="JJ69" s="99">
        <v>19.344457786116301</v>
      </c>
      <c r="JK69" s="99">
        <v>19.395210131332099</v>
      </c>
      <c r="JL69" s="99">
        <v>19.445962476547901</v>
      </c>
      <c r="JM69" s="99">
        <v>19.4967148217636</v>
      </c>
      <c r="JN69" s="99">
        <v>19.547467166979398</v>
      </c>
      <c r="JO69" s="99">
        <v>19.598219512195101</v>
      </c>
      <c r="JP69" s="99">
        <v>19.648971857410899</v>
      </c>
      <c r="JQ69" s="99">
        <v>19.699724202626701</v>
      </c>
      <c r="JR69" s="99">
        <v>19.7504765478424</v>
      </c>
      <c r="JS69" s="99">
        <v>19.801228893058202</v>
      </c>
      <c r="JT69" s="99">
        <v>19.8519812382739</v>
      </c>
      <c r="JU69" s="99">
        <v>19.902733583489699</v>
      </c>
      <c r="JV69" s="99">
        <v>19.953485928705501</v>
      </c>
      <c r="JW69" s="99">
        <v>20.004238273921199</v>
      </c>
      <c r="JX69" s="99">
        <v>20.054990619137001</v>
      </c>
      <c r="JY69" s="99">
        <v>20.1057429643527</v>
      </c>
      <c r="JZ69" s="99">
        <v>20.156495309568498</v>
      </c>
      <c r="KA69" s="99">
        <v>20.2072476547843</v>
      </c>
      <c r="KB69" s="99">
        <v>20.257999999999999</v>
      </c>
      <c r="KC69" s="99">
        <v>20.308752345215801</v>
      </c>
      <c r="KD69" s="99">
        <v>20.3595046904315</v>
      </c>
      <c r="KE69" s="99">
        <v>20.410257035647302</v>
      </c>
      <c r="KF69" s="99">
        <v>20.461009380863</v>
      </c>
      <c r="KG69" s="99">
        <v>20.511761726078799</v>
      </c>
      <c r="KH69" s="99">
        <v>20.562514071294601</v>
      </c>
      <c r="KI69" s="99">
        <v>20.613266416510299</v>
      </c>
      <c r="KJ69" s="99">
        <v>20.664018761726101</v>
      </c>
      <c r="KK69" s="99">
        <v>20.7147711069418</v>
      </c>
      <c r="KL69" s="99">
        <v>20.765523452157598</v>
      </c>
      <c r="KM69" s="99">
        <v>20.8162757973734</v>
      </c>
      <c r="KN69" s="99">
        <v>20.867028142589099</v>
      </c>
      <c r="KO69" s="99">
        <v>20.917780487804901</v>
      </c>
      <c r="KP69" s="99">
        <v>20.9685328330206</v>
      </c>
      <c r="KQ69" s="99">
        <v>21.019285178236402</v>
      </c>
      <c r="KR69" s="99">
        <v>21.0700375234522</v>
      </c>
      <c r="KS69" s="99">
        <v>21.120789868667899</v>
      </c>
      <c r="KT69" s="99">
        <v>21.171542213883701</v>
      </c>
      <c r="KU69" s="99">
        <v>21.222294559099399</v>
      </c>
      <c r="KV69" s="99">
        <v>21.273046904315201</v>
      </c>
      <c r="KW69" s="99">
        <v>21.323799249531</v>
      </c>
      <c r="KX69" s="99">
        <v>21.374551594746698</v>
      </c>
      <c r="KY69" s="99">
        <v>21.4253039399625</v>
      </c>
      <c r="KZ69" s="99">
        <v>21.476056285178199</v>
      </c>
      <c r="LA69" s="99">
        <v>21.526808630394001</v>
      </c>
      <c r="LB69" s="99">
        <v>21.577560975609799</v>
      </c>
      <c r="LC69" s="99">
        <v>21.628313320825502</v>
      </c>
      <c r="LD69" s="99">
        <v>21.6790656660413</v>
      </c>
      <c r="LE69" s="99">
        <v>21.729818011256999</v>
      </c>
      <c r="LF69" s="99">
        <v>21.780570356472801</v>
      </c>
      <c r="LG69" s="99">
        <v>21.831322701688599</v>
      </c>
      <c r="LH69" s="99">
        <v>21.882075046904301</v>
      </c>
      <c r="LI69" s="99">
        <v>21.9328273921201</v>
      </c>
      <c r="LJ69" s="99">
        <v>21.983579737335798</v>
      </c>
      <c r="LK69" s="99">
        <v>22.0343320825516</v>
      </c>
      <c r="LL69" s="99">
        <v>22.085084427767399</v>
      </c>
      <c r="LM69" s="99">
        <v>22.135836772983101</v>
      </c>
      <c r="LN69" s="99">
        <v>22.186589118198899</v>
      </c>
      <c r="LO69" s="99">
        <v>22.237341463414602</v>
      </c>
      <c r="LP69" s="99">
        <v>22.2880938086304</v>
      </c>
      <c r="LQ69" s="99">
        <v>22.338846153846202</v>
      </c>
      <c r="LR69" s="99">
        <v>22.389598499061901</v>
      </c>
      <c r="LS69" s="99">
        <v>22.440350844277699</v>
      </c>
      <c r="LT69" s="99">
        <v>22.491103189493401</v>
      </c>
      <c r="LU69" s="99">
        <v>22.5418555347092</v>
      </c>
      <c r="LV69" s="99">
        <v>22.592607879925001</v>
      </c>
      <c r="LW69" s="99">
        <v>22.6433602251407</v>
      </c>
      <c r="LX69" s="99">
        <v>22.694112570356499</v>
      </c>
      <c r="LY69" s="99">
        <v>22.744864915572201</v>
      </c>
      <c r="LZ69" s="99">
        <v>22.795617260787999</v>
      </c>
      <c r="MA69" s="99">
        <v>22.846369606003801</v>
      </c>
      <c r="MB69" s="99">
        <v>22.8971219512195</v>
      </c>
      <c r="MC69" s="99">
        <v>22.947874296435302</v>
      </c>
      <c r="MD69" s="99">
        <v>22.998626641651001</v>
      </c>
      <c r="ME69" s="99">
        <v>23.049378986866799</v>
      </c>
      <c r="MF69" s="99">
        <v>23.100131332082601</v>
      </c>
      <c r="MG69" s="99">
        <v>23.1508836772983</v>
      </c>
      <c r="MH69" s="99">
        <v>23.201636022514101</v>
      </c>
      <c r="MI69" s="99">
        <v>23.2523883677298</v>
      </c>
      <c r="MJ69" s="99">
        <v>23.303140712945599</v>
      </c>
      <c r="MK69" s="99">
        <v>23.3538930581614</v>
      </c>
      <c r="ML69" s="99">
        <v>23.404645403377099</v>
      </c>
      <c r="MM69" s="99">
        <v>23.455397748592901</v>
      </c>
      <c r="MN69" s="99">
        <v>23.5061500938086</v>
      </c>
      <c r="MO69" s="99">
        <v>23.556902439024402</v>
      </c>
      <c r="MP69" s="99">
        <v>23.6076547842402</v>
      </c>
      <c r="MQ69" s="99">
        <v>23.658407129455899</v>
      </c>
      <c r="MR69" s="99">
        <v>23.709159474671701</v>
      </c>
      <c r="MS69" s="99">
        <v>23.7599118198874</v>
      </c>
      <c r="MT69" s="99">
        <v>23.810664165103201</v>
      </c>
      <c r="MU69" s="99">
        <v>23.861416510319</v>
      </c>
      <c r="MV69" s="99">
        <v>23.912168855534699</v>
      </c>
      <c r="MW69" s="99">
        <v>23.9629212007505</v>
      </c>
      <c r="MX69" s="99">
        <v>24.013673545966199</v>
      </c>
      <c r="MY69" s="99">
        <v>24.064425891182001</v>
      </c>
      <c r="MZ69" s="99">
        <v>24.115178236397799</v>
      </c>
      <c r="NA69" s="99">
        <v>24.165930581613502</v>
      </c>
      <c r="NB69" s="99">
        <v>24.2166829268293</v>
      </c>
      <c r="NC69" s="99">
        <v>24.267435272044999</v>
      </c>
      <c r="ND69" s="99">
        <v>24.318187617260801</v>
      </c>
      <c r="NE69" s="99">
        <v>24.368939962476599</v>
      </c>
      <c r="NF69" s="99">
        <v>24.419692307692301</v>
      </c>
      <c r="NG69" s="99">
        <v>24.4704446529081</v>
      </c>
      <c r="NH69" s="99">
        <v>24.521196998123798</v>
      </c>
      <c r="NI69" s="99">
        <v>24.5719493433396</v>
      </c>
      <c r="NJ69" s="99">
        <v>24.622701688555399</v>
      </c>
      <c r="NK69" s="99">
        <v>24.673454033771101</v>
      </c>
      <c r="NL69" s="99">
        <v>24.724206378986899</v>
      </c>
      <c r="NM69" s="99">
        <v>24.774958724202602</v>
      </c>
      <c r="NN69" s="99">
        <v>24.8257110694184</v>
      </c>
      <c r="NO69" s="99">
        <v>24.876463414634198</v>
      </c>
      <c r="NP69" s="99">
        <v>24.927215759849901</v>
      </c>
      <c r="NQ69" s="99">
        <v>24.977968105065699</v>
      </c>
      <c r="NR69" s="99">
        <v>25.028720450281401</v>
      </c>
      <c r="NS69" s="99">
        <v>25.0794727954972</v>
      </c>
      <c r="NT69" s="99">
        <v>25.130225140713002</v>
      </c>
      <c r="NU69" s="99">
        <v>25.1809774859287</v>
      </c>
      <c r="NV69" s="99">
        <v>25.231729831144499</v>
      </c>
      <c r="NW69" s="99">
        <v>25.282482176360201</v>
      </c>
      <c r="NX69" s="99">
        <v>25.333234521575999</v>
      </c>
      <c r="NY69" s="99">
        <v>25.383986866791801</v>
      </c>
      <c r="NZ69" s="99">
        <v>25.4347392120075</v>
      </c>
      <c r="OA69" s="99">
        <v>25.485491557223298</v>
      </c>
      <c r="OB69" s="99">
        <v>25.536243902439001</v>
      </c>
      <c r="OC69" s="99">
        <v>25.586996247654799</v>
      </c>
      <c r="OD69" s="99">
        <v>25.637748592870601</v>
      </c>
      <c r="OE69" s="99">
        <v>25.6885009380863</v>
      </c>
      <c r="OF69" s="99">
        <v>25.739253283302101</v>
      </c>
      <c r="OG69" s="99">
        <v>25.7900056285178</v>
      </c>
      <c r="OH69" s="99">
        <v>25.840757973733599</v>
      </c>
      <c r="OI69" s="99">
        <v>25.891510318949301</v>
      </c>
      <c r="OJ69" s="99">
        <v>25.942262664165099</v>
      </c>
      <c r="OK69" s="99">
        <v>25.993015009380901</v>
      </c>
      <c r="OL69" s="99">
        <v>26.0437673545966</v>
      </c>
      <c r="OM69" s="99">
        <v>26.094519699812398</v>
      </c>
      <c r="ON69" s="99">
        <v>26.145272045028101</v>
      </c>
      <c r="OO69" s="99">
        <v>26.196024390243899</v>
      </c>
      <c r="OP69" s="99">
        <v>26.246776735459701</v>
      </c>
      <c r="OQ69" s="99">
        <v>26.2975290806754</v>
      </c>
      <c r="OR69" s="99">
        <v>26.348281425891201</v>
      </c>
      <c r="OS69" s="99">
        <v>26.3990337711069</v>
      </c>
      <c r="OT69" s="99">
        <v>26.449786116322699</v>
      </c>
      <c r="OU69" s="99">
        <v>26.5005384615385</v>
      </c>
      <c r="OV69" s="99">
        <v>26.551290806754199</v>
      </c>
      <c r="OW69" s="99">
        <v>26.602043151970001</v>
      </c>
      <c r="OX69" s="99">
        <v>26.6527954971857</v>
      </c>
      <c r="OY69" s="99">
        <v>26.703547842401498</v>
      </c>
      <c r="OZ69" s="99">
        <v>26.7543001876173</v>
      </c>
      <c r="PA69" s="99">
        <v>26.805052532832999</v>
      </c>
      <c r="PB69" s="99">
        <v>26.855804878048801</v>
      </c>
      <c r="PC69" s="99">
        <v>26.9065572232645</v>
      </c>
      <c r="PD69" s="99">
        <v>26.957309568480301</v>
      </c>
      <c r="PE69" s="99">
        <v>27.0080619136961</v>
      </c>
      <c r="PF69" s="99">
        <v>27.058814258911799</v>
      </c>
      <c r="PG69" s="99">
        <v>27.1095666041276</v>
      </c>
      <c r="PH69" s="99">
        <v>27.160318949343299</v>
      </c>
      <c r="PI69" s="99">
        <v>27.211071294559101</v>
      </c>
      <c r="PJ69" s="99">
        <v>27.261823639774899</v>
      </c>
      <c r="PK69" s="99">
        <v>27.312575984990598</v>
      </c>
      <c r="PL69" s="99">
        <v>27.3633283302064</v>
      </c>
      <c r="PM69" s="99">
        <v>27.414080675422099</v>
      </c>
      <c r="PN69" s="99">
        <v>27.464833020637901</v>
      </c>
      <c r="PO69" s="99">
        <v>27.515585365853699</v>
      </c>
      <c r="PP69" s="99">
        <v>27.566337711069401</v>
      </c>
      <c r="PQ69" s="99">
        <v>27.6170900562852</v>
      </c>
      <c r="PR69" s="99">
        <v>27.667842401500899</v>
      </c>
      <c r="PS69" s="99">
        <v>27.7185947467167</v>
      </c>
      <c r="PT69" s="99">
        <v>27.769347091932499</v>
      </c>
      <c r="PU69" s="99">
        <v>27.820099437148201</v>
      </c>
      <c r="PV69" s="99">
        <v>27.870851782363999</v>
      </c>
      <c r="PW69" s="99">
        <v>27.921604127579698</v>
      </c>
      <c r="PX69" s="99">
        <v>27.9723564727955</v>
      </c>
      <c r="PY69" s="99">
        <v>28.023108818011298</v>
      </c>
      <c r="PZ69" s="99">
        <v>28.073861163227001</v>
      </c>
      <c r="QA69" s="99">
        <v>28.124613508442799</v>
      </c>
      <c r="QB69" s="99">
        <v>28.175365853658501</v>
      </c>
      <c r="QC69" s="99">
        <v>28.2261181988743</v>
      </c>
      <c r="QD69" s="99">
        <v>28.276870544090102</v>
      </c>
      <c r="QE69" s="99">
        <v>28.3276228893058</v>
      </c>
      <c r="QF69" s="99">
        <v>28.378375234521599</v>
      </c>
      <c r="QG69" s="99">
        <v>28.429127579737301</v>
      </c>
      <c r="QH69" s="99">
        <v>28.479879924953099</v>
      </c>
      <c r="QI69" s="99">
        <v>28.530632270168901</v>
      </c>
      <c r="QJ69" s="99">
        <v>28.5813846153846</v>
      </c>
      <c r="QK69" s="99">
        <v>28.632136960600398</v>
      </c>
      <c r="QL69" s="99">
        <v>28.682889305816101</v>
      </c>
      <c r="QM69" s="99">
        <v>28.733641651031899</v>
      </c>
      <c r="QN69" s="99">
        <v>28.784393996247701</v>
      </c>
      <c r="QO69" s="99">
        <v>28.8351463414634</v>
      </c>
      <c r="QP69" s="99">
        <v>28.885898686679202</v>
      </c>
      <c r="QQ69" s="99">
        <v>28.9366510318949</v>
      </c>
      <c r="QR69" s="99">
        <v>28.987403377110699</v>
      </c>
      <c r="QS69" s="99">
        <v>29.038155722326501</v>
      </c>
      <c r="QT69" s="99">
        <v>29.088908067542199</v>
      </c>
      <c r="QU69" s="99">
        <v>29.139660412758001</v>
      </c>
      <c r="QV69" s="99">
        <v>29.1904127579737</v>
      </c>
      <c r="QW69" s="99">
        <v>29.241165103189498</v>
      </c>
      <c r="QX69" s="99">
        <v>29.2919174484053</v>
      </c>
      <c r="QY69" s="99">
        <v>29.342669793620999</v>
      </c>
      <c r="QZ69" s="99">
        <v>29.393422138836801</v>
      </c>
      <c r="RA69" s="99">
        <v>29.4441744840525</v>
      </c>
      <c r="RB69" s="99">
        <v>29.494926829268302</v>
      </c>
      <c r="RC69" s="99">
        <v>29.5456791744841</v>
      </c>
      <c r="RD69" s="99">
        <v>29.596431519699799</v>
      </c>
      <c r="RE69" s="99">
        <v>29.647183864915601</v>
      </c>
      <c r="RF69" s="99">
        <v>29.697936210131299</v>
      </c>
      <c r="RG69" s="99">
        <v>29.748688555347101</v>
      </c>
      <c r="RH69" s="99">
        <v>29.7994409005629</v>
      </c>
      <c r="RI69" s="99">
        <v>29.850193245778598</v>
      </c>
      <c r="RJ69" s="99">
        <v>29.9009455909944</v>
      </c>
      <c r="RK69" s="99">
        <v>29.951697936210099</v>
      </c>
      <c r="RL69" s="99">
        <v>30.002450281425901</v>
      </c>
      <c r="RM69" s="99">
        <v>30.053202626641699</v>
      </c>
      <c r="RN69" s="99">
        <v>30.103954971857402</v>
      </c>
      <c r="RO69" s="99">
        <v>30.1547073170732</v>
      </c>
      <c r="RP69" s="99">
        <v>30.205459662288899</v>
      </c>
      <c r="RQ69" s="99">
        <v>30.256212007504701</v>
      </c>
      <c r="RR69" s="99">
        <v>30.306964352720499</v>
      </c>
      <c r="RS69" s="99">
        <v>30.357716697936201</v>
      </c>
      <c r="RT69" s="99">
        <v>30.408469043152</v>
      </c>
      <c r="RU69" s="99">
        <v>30.459221388367698</v>
      </c>
      <c r="RV69" s="99">
        <v>30.5099737335835</v>
      </c>
      <c r="RW69" s="99">
        <v>30.560726078799298</v>
      </c>
      <c r="RX69" s="99">
        <v>30.611478424015001</v>
      </c>
      <c r="RY69" s="99">
        <v>30.662230769230799</v>
      </c>
      <c r="RZ69" s="99">
        <v>30.712983114446502</v>
      </c>
      <c r="SA69" s="99">
        <v>30.7637354596623</v>
      </c>
      <c r="SB69" s="99">
        <v>30.814487804878102</v>
      </c>
      <c r="SC69" s="99">
        <v>30.865240150093801</v>
      </c>
      <c r="SD69" s="99">
        <v>30.915992495309599</v>
      </c>
      <c r="SE69" s="99">
        <v>30.966744840525301</v>
      </c>
      <c r="SF69" s="99">
        <v>31.017497185741099</v>
      </c>
      <c r="SG69" s="99">
        <v>31.068249530956901</v>
      </c>
      <c r="SH69" s="99">
        <v>31.1190018761726</v>
      </c>
      <c r="SI69" s="99">
        <v>31.169754221388398</v>
      </c>
      <c r="SJ69" s="99">
        <v>31.220506566604101</v>
      </c>
      <c r="SK69" s="99">
        <v>31.271258911819899</v>
      </c>
      <c r="SL69" s="99">
        <v>31.322011257035701</v>
      </c>
      <c r="SM69" s="99">
        <v>31.3727636022514</v>
      </c>
      <c r="SN69" s="99">
        <v>31.423515947467202</v>
      </c>
      <c r="SO69" s="99">
        <v>31.4742682926829</v>
      </c>
      <c r="SP69" s="99">
        <v>31.525020637898699</v>
      </c>
      <c r="SQ69" s="99">
        <v>31.575772983114401</v>
      </c>
      <c r="SR69" s="99">
        <v>31.626525328330199</v>
      </c>
      <c r="SS69" s="99">
        <v>31.677277673546001</v>
      </c>
      <c r="ST69" s="99">
        <v>31.7280300187617</v>
      </c>
      <c r="SU69" s="99">
        <v>31.778782363977498</v>
      </c>
      <c r="SV69" s="99">
        <v>31.829534709193201</v>
      </c>
      <c r="SW69" s="99">
        <v>31.880287054408999</v>
      </c>
      <c r="SX69" s="99">
        <v>31.931039399624801</v>
      </c>
      <c r="SY69" s="99">
        <v>31.9817917448405</v>
      </c>
      <c r="SZ69" s="99">
        <v>32.032544090056298</v>
      </c>
      <c r="TA69" s="99">
        <v>32.083296435271997</v>
      </c>
      <c r="TB69" s="99">
        <v>32.134048780487802</v>
      </c>
      <c r="TC69" s="99">
        <v>32.184801125703601</v>
      </c>
      <c r="TD69" s="99">
        <v>32.235553470919299</v>
      </c>
      <c r="TE69" s="99">
        <v>32.286305816135098</v>
      </c>
      <c r="TF69" s="99">
        <v>32.337058161350797</v>
      </c>
      <c r="TG69" s="99">
        <v>32.387810506566602</v>
      </c>
      <c r="TH69" s="99">
        <v>32.4385628517824</v>
      </c>
      <c r="TI69" s="99">
        <v>32.489315196998099</v>
      </c>
      <c r="TJ69" s="99">
        <v>32.540067542213897</v>
      </c>
      <c r="TK69" s="99">
        <v>32.590819887429603</v>
      </c>
      <c r="TL69" s="99">
        <v>32.641572232645402</v>
      </c>
      <c r="TM69" s="99">
        <v>32.6923245778612</v>
      </c>
      <c r="TN69" s="99">
        <v>32.743076923076899</v>
      </c>
      <c r="TO69" s="99">
        <v>32.793829268292697</v>
      </c>
      <c r="TP69" s="99">
        <v>32.844581613508403</v>
      </c>
      <c r="TQ69" s="99">
        <v>32.895333958724201</v>
      </c>
      <c r="TR69" s="99">
        <v>32.94608630394</v>
      </c>
      <c r="TS69" s="99">
        <v>32.996838649155698</v>
      </c>
      <c r="TT69" s="99">
        <v>33.047590994371497</v>
      </c>
      <c r="TU69" s="99">
        <v>33.098343339587203</v>
      </c>
      <c r="TV69" s="99">
        <v>33.149095684803001</v>
      </c>
      <c r="TW69" s="99">
        <v>33.199848030018799</v>
      </c>
      <c r="TX69" s="99">
        <v>33.250600375234498</v>
      </c>
      <c r="TY69" s="99">
        <v>33.301352720450303</v>
      </c>
      <c r="TZ69" s="99">
        <v>33.352105065666002</v>
      </c>
      <c r="UA69" s="99">
        <v>33.402857410881801</v>
      </c>
      <c r="UB69" s="99">
        <v>33.453609756097599</v>
      </c>
      <c r="UC69" s="99">
        <v>33.504362101313298</v>
      </c>
      <c r="UD69" s="99">
        <v>33.555114446529103</v>
      </c>
      <c r="UE69" s="99">
        <v>33.605866791744802</v>
      </c>
      <c r="UF69" s="99">
        <v>33.6566191369606</v>
      </c>
      <c r="UG69" s="99">
        <v>33.707371482176399</v>
      </c>
      <c r="UH69" s="99">
        <v>33.758123827392097</v>
      </c>
      <c r="UI69" s="99">
        <v>33.808876172607903</v>
      </c>
      <c r="UJ69" s="99">
        <v>33.859628517823602</v>
      </c>
      <c r="UK69" s="99">
        <v>33.9103808630394</v>
      </c>
      <c r="UL69" s="99">
        <v>33.961133208255198</v>
      </c>
      <c r="UM69" s="99">
        <v>34.011885553470897</v>
      </c>
      <c r="UN69" s="99">
        <v>34.062637898686702</v>
      </c>
      <c r="UO69" s="99">
        <v>34.113390243902401</v>
      </c>
      <c r="UP69" s="99">
        <v>34.1641425891182</v>
      </c>
      <c r="UQ69" s="99">
        <v>34.214894934333998</v>
      </c>
      <c r="UR69" s="99">
        <v>34.265647279549697</v>
      </c>
      <c r="US69" s="99">
        <v>34.316399624765502</v>
      </c>
      <c r="UT69" s="99">
        <v>34.3671519699813</v>
      </c>
    </row>
    <row r="70" spans="1:566" x14ac:dyDescent="0.2">
      <c r="A70" s="89">
        <v>32</v>
      </c>
      <c r="B70" s="90">
        <v>5.69</v>
      </c>
      <c r="C70" s="90">
        <v>5.74</v>
      </c>
      <c r="D70" s="90">
        <v>5.79</v>
      </c>
      <c r="E70" s="90">
        <v>5.84</v>
      </c>
      <c r="F70" s="90">
        <v>5.89</v>
      </c>
      <c r="G70" s="90">
        <v>5.94</v>
      </c>
      <c r="H70" s="90">
        <v>5.99</v>
      </c>
      <c r="I70" s="90">
        <v>6.04</v>
      </c>
      <c r="J70" s="90">
        <v>6.1</v>
      </c>
      <c r="K70" s="90">
        <v>6.15</v>
      </c>
      <c r="L70" s="90">
        <v>6.2</v>
      </c>
      <c r="M70" s="90">
        <v>6.25</v>
      </c>
      <c r="N70" s="90">
        <v>6.3</v>
      </c>
      <c r="O70" s="90">
        <v>6.35</v>
      </c>
      <c r="P70" s="90">
        <v>6.4</v>
      </c>
      <c r="Q70" s="90">
        <v>6.45</v>
      </c>
      <c r="R70" s="90">
        <v>6.5</v>
      </c>
      <c r="S70" s="90">
        <v>6.55</v>
      </c>
      <c r="T70" s="90">
        <v>6.6</v>
      </c>
      <c r="U70" s="91">
        <v>6.65</v>
      </c>
      <c r="V70" s="90">
        <v>6.7</v>
      </c>
      <c r="W70" s="90">
        <v>6.75</v>
      </c>
      <c r="X70" s="90">
        <v>6.8</v>
      </c>
      <c r="Y70" s="90">
        <v>6.85</v>
      </c>
      <c r="Z70" s="90">
        <v>6.9</v>
      </c>
      <c r="AA70" s="90">
        <v>6.95</v>
      </c>
      <c r="AB70" s="90">
        <v>7</v>
      </c>
      <c r="AC70" s="90">
        <v>7.05</v>
      </c>
      <c r="AD70" s="90">
        <v>7.1</v>
      </c>
      <c r="AE70" s="90">
        <v>7.15</v>
      </c>
      <c r="AF70" s="90">
        <v>7.2</v>
      </c>
      <c r="AG70" s="90">
        <v>7.25</v>
      </c>
      <c r="AH70" s="90">
        <v>7.3</v>
      </c>
      <c r="AI70" s="90">
        <v>7.36</v>
      </c>
      <c r="AJ70" s="90">
        <v>7.41</v>
      </c>
      <c r="AK70" s="90">
        <v>7.46</v>
      </c>
      <c r="AL70" s="90">
        <v>7.51</v>
      </c>
      <c r="AM70" s="90">
        <v>7.56</v>
      </c>
      <c r="AN70" s="90">
        <v>7.61</v>
      </c>
      <c r="AO70" s="91">
        <v>7.66</v>
      </c>
      <c r="AP70" s="90">
        <v>7.7091153846153899</v>
      </c>
      <c r="AQ70" s="90">
        <v>7.75957223264541</v>
      </c>
      <c r="AR70" s="90">
        <v>7.81002908067543</v>
      </c>
      <c r="AS70" s="90">
        <v>7.86048592870545</v>
      </c>
      <c r="AT70" s="90">
        <v>7.9109427767354701</v>
      </c>
      <c r="AU70" s="90">
        <v>7.9613996247654804</v>
      </c>
      <c r="AV70" s="90">
        <v>8.0118564727955004</v>
      </c>
      <c r="AW70" s="90">
        <v>8.0623133208255204</v>
      </c>
      <c r="AX70" s="90">
        <v>8.1127701688555405</v>
      </c>
      <c r="AY70" s="90">
        <v>8.1632270168855605</v>
      </c>
      <c r="AZ70" s="90">
        <v>8.2136838649155806</v>
      </c>
      <c r="BA70" s="90">
        <v>8.2641407129456006</v>
      </c>
      <c r="BB70" s="90">
        <v>8.3145975609756206</v>
      </c>
      <c r="BC70" s="90">
        <v>8.36505440900563</v>
      </c>
      <c r="BD70" s="90">
        <v>8.4155112570356501</v>
      </c>
      <c r="BE70" s="90">
        <v>8.4659681050656701</v>
      </c>
      <c r="BF70" s="90">
        <v>8.5164249530956901</v>
      </c>
      <c r="BG70" s="90">
        <v>8.5668818011257102</v>
      </c>
      <c r="BH70" s="90">
        <v>8.6173386491557302</v>
      </c>
      <c r="BI70" s="91">
        <v>8.6677954971857503</v>
      </c>
      <c r="BJ70" s="90">
        <v>8.7182523452157703</v>
      </c>
      <c r="BK70" s="99">
        <v>8.7687091932457797</v>
      </c>
      <c r="BL70" s="99">
        <v>8.8191660412757997</v>
      </c>
      <c r="BM70" s="99">
        <v>8.8696228893058198</v>
      </c>
      <c r="BN70" s="99">
        <v>8.9200797373358398</v>
      </c>
      <c r="BO70" s="99">
        <v>8.9705365853658598</v>
      </c>
      <c r="BP70" s="99">
        <v>9.0209934333958799</v>
      </c>
      <c r="BQ70" s="99">
        <v>9.0714502814258999</v>
      </c>
      <c r="BR70" s="99">
        <v>9.12190712945592</v>
      </c>
      <c r="BS70" s="99">
        <v>9.1723639774859294</v>
      </c>
      <c r="BT70" s="99">
        <v>9.2228208255159494</v>
      </c>
      <c r="BU70" s="99">
        <v>9.2732776735459694</v>
      </c>
      <c r="BV70" s="99">
        <v>9.3237345215759895</v>
      </c>
      <c r="BW70" s="99">
        <v>9.3741913696060095</v>
      </c>
      <c r="BX70" s="99">
        <v>9.4246482176360296</v>
      </c>
      <c r="BY70" s="99">
        <v>9.4751050656660496</v>
      </c>
      <c r="BZ70" s="99">
        <v>9.5255619136960696</v>
      </c>
      <c r="CA70" s="99">
        <v>9.5760187617260808</v>
      </c>
      <c r="CB70" s="99">
        <v>9.6264756097561008</v>
      </c>
      <c r="CC70" s="99">
        <v>9.6769324577861209</v>
      </c>
      <c r="CD70" s="99">
        <v>9.7273893058161391</v>
      </c>
      <c r="CE70" s="99">
        <v>9.7778461538461592</v>
      </c>
      <c r="CF70" s="99">
        <v>9.8283030018761792</v>
      </c>
      <c r="CG70" s="99">
        <v>9.8787598499061993</v>
      </c>
      <c r="CH70" s="99">
        <v>9.9292166979362193</v>
      </c>
      <c r="CI70" s="99">
        <v>9.9796735459662305</v>
      </c>
      <c r="CJ70" s="99">
        <v>10.030130393996201</v>
      </c>
      <c r="CK70" s="99">
        <v>10.080587242026301</v>
      </c>
      <c r="CL70" s="99">
        <v>10.131044090056299</v>
      </c>
      <c r="CM70" s="99">
        <v>10.1815009380863</v>
      </c>
      <c r="CN70" s="99">
        <v>10.2319577861163</v>
      </c>
      <c r="CO70" s="99">
        <v>10.282414634146299</v>
      </c>
      <c r="CP70" s="99">
        <v>10.332871482176399</v>
      </c>
      <c r="CQ70" s="99">
        <v>10.3833283302064</v>
      </c>
      <c r="CR70" s="99">
        <v>10.4337851782364</v>
      </c>
      <c r="CS70" s="99">
        <v>10.484242026266401</v>
      </c>
      <c r="CT70" s="99">
        <v>10.534698874296399</v>
      </c>
      <c r="CU70" s="99">
        <v>10.585155722326499</v>
      </c>
      <c r="CV70" s="99">
        <v>10.6356125703565</v>
      </c>
      <c r="CW70" s="99">
        <v>10.6860694183865</v>
      </c>
      <c r="CX70" s="99">
        <v>10.736526266416501</v>
      </c>
      <c r="CY70" s="99">
        <v>10.7869831144465</v>
      </c>
      <c r="CZ70" s="99">
        <v>10.8374399624765</v>
      </c>
      <c r="DA70" s="99">
        <v>10.8878968105066</v>
      </c>
      <c r="DB70" s="99">
        <v>10.938353658536601</v>
      </c>
      <c r="DC70" s="99">
        <v>10.988810506566599</v>
      </c>
      <c r="DD70" s="99">
        <v>11.0392673545966</v>
      </c>
      <c r="DE70" s="99">
        <v>11.0897242026266</v>
      </c>
      <c r="DF70" s="99">
        <v>11.1401810506567</v>
      </c>
      <c r="DG70" s="99">
        <v>11.190637898686701</v>
      </c>
      <c r="DH70" s="99">
        <v>11.2410947467167</v>
      </c>
      <c r="DI70" s="99">
        <v>11.2915515947467</v>
      </c>
      <c r="DJ70" s="99">
        <v>11.342008442776701</v>
      </c>
      <c r="DK70" s="99">
        <v>11.3924652908068</v>
      </c>
      <c r="DL70" s="99">
        <v>11.442922138836799</v>
      </c>
      <c r="DM70" s="99">
        <v>11.4933789868668</v>
      </c>
      <c r="DN70" s="99">
        <v>11.5438358348968</v>
      </c>
      <c r="DO70" s="99">
        <v>11.594292682926801</v>
      </c>
      <c r="DP70" s="99">
        <v>11.644749530956799</v>
      </c>
      <c r="DQ70" s="99">
        <v>11.695206378986899</v>
      </c>
      <c r="DR70" s="99">
        <v>11.7456632270169</v>
      </c>
      <c r="DS70" s="99">
        <v>11.7961200750469</v>
      </c>
      <c r="DT70" s="99">
        <v>11.846576923076899</v>
      </c>
      <c r="DU70" s="99">
        <v>11.8970337711069</v>
      </c>
      <c r="DV70" s="99">
        <v>11.947490619137</v>
      </c>
      <c r="DW70" s="99">
        <v>11.997947467167</v>
      </c>
      <c r="DX70" s="99">
        <v>12.048404315197001</v>
      </c>
      <c r="DY70" s="99">
        <v>12.098861163226999</v>
      </c>
      <c r="DZ70" s="99">
        <v>12.149318011257</v>
      </c>
      <c r="EA70" s="99">
        <v>12.1997748592871</v>
      </c>
      <c r="EB70" s="99">
        <v>12.2502317073171</v>
      </c>
      <c r="EC70" s="99">
        <v>12.300688555347101</v>
      </c>
      <c r="ED70" s="99">
        <v>12.3511454033771</v>
      </c>
      <c r="EE70" s="99">
        <v>12.4016022514071</v>
      </c>
      <c r="EF70" s="99">
        <v>12.452059099437101</v>
      </c>
      <c r="EG70" s="99">
        <v>12.502515947467201</v>
      </c>
      <c r="EH70" s="99">
        <v>12.552972795497199</v>
      </c>
      <c r="EI70" s="99">
        <v>12.6034296435272</v>
      </c>
      <c r="EJ70" s="99">
        <v>12.6538864915572</v>
      </c>
      <c r="EK70" s="99">
        <v>12.704343339587201</v>
      </c>
      <c r="EL70" s="99">
        <v>12.754800187617301</v>
      </c>
      <c r="EM70" s="99">
        <v>12.805257035647299</v>
      </c>
      <c r="EN70" s="99">
        <v>12.8557138836773</v>
      </c>
      <c r="EO70" s="99">
        <v>12.9061707317073</v>
      </c>
      <c r="EP70" s="99">
        <v>12.956627579737299</v>
      </c>
      <c r="EQ70" s="99">
        <v>13.007084427767399</v>
      </c>
      <c r="ER70" s="99">
        <v>13.0575412757974</v>
      </c>
      <c r="ES70" s="99">
        <v>13.1079981238274</v>
      </c>
      <c r="ET70" s="99">
        <v>13.158454971857401</v>
      </c>
      <c r="EU70" s="99">
        <v>13.208911819887399</v>
      </c>
      <c r="EV70" s="99">
        <v>13.2593686679174</v>
      </c>
      <c r="EW70" s="99">
        <v>13.3098255159475</v>
      </c>
      <c r="EX70" s="99">
        <v>13.3602823639775</v>
      </c>
      <c r="EY70" s="99">
        <v>13.410739212007501</v>
      </c>
      <c r="EZ70" s="99">
        <v>13.4611960600375</v>
      </c>
      <c r="FA70" s="99">
        <v>13.5116529080675</v>
      </c>
      <c r="FB70" s="99">
        <v>13.5621097560976</v>
      </c>
      <c r="FC70" s="99">
        <v>13.612566604127601</v>
      </c>
      <c r="FD70" s="99">
        <v>13.663023452157599</v>
      </c>
      <c r="FE70" s="99">
        <v>13.7134803001876</v>
      </c>
      <c r="FF70" s="99">
        <v>13.7639371482176</v>
      </c>
      <c r="FG70" s="99">
        <v>13.8143939962477</v>
      </c>
      <c r="FH70" s="99">
        <v>13.864850844277701</v>
      </c>
      <c r="FI70" s="99">
        <v>13.915307692307699</v>
      </c>
      <c r="FJ70" s="99">
        <v>13.9657645403377</v>
      </c>
      <c r="FK70" s="99">
        <v>14.0162213883677</v>
      </c>
      <c r="FL70" s="99">
        <v>14.066678236397699</v>
      </c>
      <c r="FM70" s="99">
        <v>14.117135084427799</v>
      </c>
      <c r="FN70" s="99">
        <v>14.1675919324578</v>
      </c>
      <c r="FO70" s="99">
        <v>14.2180487804878</v>
      </c>
      <c r="FP70" s="99">
        <v>14.268505628517801</v>
      </c>
      <c r="FQ70" s="99">
        <v>14.318962476547799</v>
      </c>
      <c r="FR70" s="99">
        <v>14.369419324577899</v>
      </c>
      <c r="FS70" s="99">
        <v>14.4198761726079</v>
      </c>
      <c r="FT70" s="99">
        <v>14.4703330206379</v>
      </c>
      <c r="FU70" s="99">
        <v>14.520789868667899</v>
      </c>
      <c r="FV70" s="99">
        <v>14.5712467166979</v>
      </c>
      <c r="FW70" s="99">
        <v>14.621703564728</v>
      </c>
      <c r="FX70" s="99">
        <v>14.672160412758</v>
      </c>
      <c r="FY70" s="99">
        <v>14.722617260788001</v>
      </c>
      <c r="FZ70" s="99">
        <v>14.773074108817999</v>
      </c>
      <c r="GA70" s="99">
        <v>14.823530956848</v>
      </c>
      <c r="GB70" s="99">
        <v>14.873987804878</v>
      </c>
      <c r="GC70" s="99">
        <v>14.9244446529081</v>
      </c>
      <c r="GD70" s="99">
        <v>14.974901500938101</v>
      </c>
      <c r="GE70" s="99">
        <v>15.0253583489681</v>
      </c>
      <c r="GF70" s="99">
        <v>15.0758151969981</v>
      </c>
      <c r="GG70" s="99">
        <v>15.126272045028101</v>
      </c>
      <c r="GH70" s="99">
        <v>15.1767288930582</v>
      </c>
      <c r="GI70" s="99">
        <v>15.227185741088199</v>
      </c>
      <c r="GJ70" s="99">
        <v>15.2776425891182</v>
      </c>
      <c r="GK70" s="99">
        <v>15.3280994371482</v>
      </c>
      <c r="GL70" s="99">
        <v>15.378556285178201</v>
      </c>
      <c r="GM70" s="99">
        <v>15.429013133208301</v>
      </c>
      <c r="GN70" s="99">
        <v>15.479469981238299</v>
      </c>
      <c r="GO70" s="99">
        <v>15.5299268292683</v>
      </c>
      <c r="GP70" s="99">
        <v>15.5803836772983</v>
      </c>
      <c r="GQ70" s="99">
        <v>15.630840525328299</v>
      </c>
      <c r="GR70" s="99">
        <v>15.6812973733583</v>
      </c>
      <c r="GS70" s="99">
        <v>15.7317542213883</v>
      </c>
      <c r="GT70" s="99">
        <v>15.7822110694184</v>
      </c>
      <c r="GU70" s="99">
        <v>15.832667917448401</v>
      </c>
      <c r="GV70" s="99">
        <v>15.883124765478399</v>
      </c>
      <c r="GW70" s="99">
        <v>15.9335816135084</v>
      </c>
      <c r="GX70" s="99">
        <v>15.9840384615384</v>
      </c>
      <c r="GY70" s="99">
        <v>16.034495309568399</v>
      </c>
      <c r="GZ70" s="99">
        <v>16.084952157598501</v>
      </c>
      <c r="HA70" s="99">
        <v>16.1354090056285</v>
      </c>
      <c r="HB70" s="99">
        <v>16.185865853658498</v>
      </c>
      <c r="HC70" s="99">
        <v>16.236322701688501</v>
      </c>
      <c r="HD70" s="99">
        <v>16.286779549718499</v>
      </c>
      <c r="HE70" s="99">
        <v>16.337236397748601</v>
      </c>
      <c r="HF70" s="99">
        <v>16.3876932457786</v>
      </c>
      <c r="HG70" s="99">
        <v>16.438150093808598</v>
      </c>
      <c r="HH70" s="99">
        <v>16.488606941838601</v>
      </c>
      <c r="HI70" s="99">
        <v>16.539063789868599</v>
      </c>
      <c r="HJ70" s="99">
        <v>16.589520637898701</v>
      </c>
      <c r="HK70" s="99">
        <v>16.6399774859287</v>
      </c>
      <c r="HL70" s="99">
        <v>16.690434333958699</v>
      </c>
      <c r="HM70" s="99">
        <v>16.740891181988701</v>
      </c>
      <c r="HN70" s="99">
        <v>16.7913480300187</v>
      </c>
      <c r="HO70" s="99">
        <v>16.841804878048698</v>
      </c>
      <c r="HP70" s="99">
        <v>16.8922617260788</v>
      </c>
      <c r="HQ70" s="99">
        <v>16.942718574108799</v>
      </c>
      <c r="HR70" s="99">
        <v>16.993175422138801</v>
      </c>
      <c r="HS70" s="99">
        <v>17.0436322701688</v>
      </c>
      <c r="HT70" s="99">
        <v>17.094089118198799</v>
      </c>
      <c r="HU70" s="99">
        <v>17.1445459662289</v>
      </c>
      <c r="HV70" s="99">
        <v>17.195002814258899</v>
      </c>
      <c r="HW70" s="99">
        <v>17.245459662288901</v>
      </c>
      <c r="HX70" s="99">
        <v>17.2959165103189</v>
      </c>
      <c r="HY70" s="99">
        <v>17.346373358348899</v>
      </c>
      <c r="HZ70" s="99">
        <v>17.396830206379001</v>
      </c>
      <c r="IA70" s="99">
        <v>17.447287054408999</v>
      </c>
      <c r="IB70" s="99">
        <v>17.497743902439002</v>
      </c>
      <c r="IC70" s="99">
        <v>17.548200750469</v>
      </c>
      <c r="ID70" s="99">
        <v>17.598657598498999</v>
      </c>
      <c r="IE70" s="99">
        <v>17.649114446529001</v>
      </c>
      <c r="IF70" s="99">
        <v>17.699571294559099</v>
      </c>
      <c r="IG70" s="99">
        <v>17.750028142589102</v>
      </c>
      <c r="IH70" s="99">
        <v>17.800484990619101</v>
      </c>
      <c r="II70" s="99">
        <v>17.850941838649099</v>
      </c>
      <c r="IJ70" s="99">
        <v>17.901398686679102</v>
      </c>
      <c r="IK70" s="99">
        <v>17.9518555347092</v>
      </c>
      <c r="IL70" s="99">
        <v>18.002312382739198</v>
      </c>
      <c r="IM70" s="99">
        <v>18.052769230769201</v>
      </c>
      <c r="IN70" s="99">
        <v>18.103226078799199</v>
      </c>
      <c r="IO70" s="99">
        <v>18.153682926829202</v>
      </c>
      <c r="IP70" s="99">
        <v>18.2041397748593</v>
      </c>
      <c r="IQ70" s="99">
        <v>18.254596622889299</v>
      </c>
      <c r="IR70" s="99">
        <v>18.305053470919301</v>
      </c>
      <c r="IS70" s="99">
        <v>18.3555103189493</v>
      </c>
      <c r="IT70" s="99">
        <v>18.405967166979298</v>
      </c>
      <c r="IU70" s="99">
        <v>18.456424015009301</v>
      </c>
      <c r="IV70" s="99">
        <v>18.506880863039399</v>
      </c>
      <c r="IW70" s="99">
        <v>18.557337711069401</v>
      </c>
      <c r="IX70" s="99">
        <v>18.6077945590994</v>
      </c>
      <c r="IY70" s="99">
        <v>18.658251407129399</v>
      </c>
      <c r="IZ70" s="99">
        <v>18.708708255159401</v>
      </c>
      <c r="JA70" s="99">
        <v>18.759165103189499</v>
      </c>
      <c r="JB70" s="99">
        <v>18.809621951219501</v>
      </c>
      <c r="JC70" s="99">
        <v>18.8600787992495</v>
      </c>
      <c r="JD70" s="99">
        <v>18.910535647279499</v>
      </c>
      <c r="JE70" s="99">
        <v>18.960992495309501</v>
      </c>
      <c r="JF70" s="99">
        <v>19.011449343339599</v>
      </c>
      <c r="JG70" s="99">
        <v>19.061906191369602</v>
      </c>
      <c r="JH70" s="99">
        <v>19.1123630393996</v>
      </c>
      <c r="JI70" s="99">
        <v>19.162819887429599</v>
      </c>
      <c r="JJ70" s="99">
        <v>19.213276735459601</v>
      </c>
      <c r="JK70" s="99">
        <v>19.2637335834896</v>
      </c>
      <c r="JL70" s="99">
        <v>19.314190431519702</v>
      </c>
      <c r="JM70" s="99">
        <v>19.3646472795497</v>
      </c>
      <c r="JN70" s="99">
        <v>19.415104127579699</v>
      </c>
      <c r="JO70" s="99">
        <v>19.465560975609701</v>
      </c>
      <c r="JP70" s="99">
        <v>19.5160178236397</v>
      </c>
      <c r="JQ70" s="99">
        <v>19.566474671669798</v>
      </c>
      <c r="JR70" s="99">
        <v>19.616931519699801</v>
      </c>
      <c r="JS70" s="99">
        <v>19.667388367729799</v>
      </c>
      <c r="JT70" s="99">
        <v>19.717845215759802</v>
      </c>
      <c r="JU70" s="99">
        <v>19.7683020637898</v>
      </c>
      <c r="JV70" s="99">
        <v>19.818758911819899</v>
      </c>
      <c r="JW70" s="99">
        <v>19.869215759849901</v>
      </c>
      <c r="JX70" s="99">
        <v>19.9196726078799</v>
      </c>
      <c r="JY70" s="99">
        <v>19.970129455909898</v>
      </c>
      <c r="JZ70" s="99">
        <v>20.020586303939901</v>
      </c>
      <c r="KA70" s="99">
        <v>20.071043151969899</v>
      </c>
      <c r="KB70" s="99">
        <v>20.121500000000001</v>
      </c>
      <c r="KC70" s="99">
        <v>20.17195684803</v>
      </c>
      <c r="KD70" s="99">
        <v>20.222413696059999</v>
      </c>
      <c r="KE70" s="99">
        <v>20.272870544090001</v>
      </c>
      <c r="KF70" s="99">
        <v>20.32332739212</v>
      </c>
      <c r="KG70" s="99">
        <v>20.373784240150101</v>
      </c>
      <c r="KH70" s="99">
        <v>20.4242410881801</v>
      </c>
      <c r="KI70" s="99">
        <v>20.474697936210099</v>
      </c>
      <c r="KJ70" s="99">
        <v>20.525154784240101</v>
      </c>
      <c r="KK70" s="99">
        <v>20.5756116322701</v>
      </c>
      <c r="KL70" s="99">
        <v>20.626068480300201</v>
      </c>
      <c r="KM70" s="99">
        <v>20.6765253283302</v>
      </c>
      <c r="KN70" s="99">
        <v>20.726982176360199</v>
      </c>
      <c r="KO70" s="99">
        <v>20.777439024390201</v>
      </c>
      <c r="KP70" s="99">
        <v>20.8278958724202</v>
      </c>
      <c r="KQ70" s="99">
        <v>20.878352720450199</v>
      </c>
      <c r="KR70" s="99">
        <v>20.9288095684803</v>
      </c>
      <c r="KS70" s="99">
        <v>20.979266416510299</v>
      </c>
      <c r="KT70" s="99">
        <v>21.029723264540301</v>
      </c>
      <c r="KU70" s="99">
        <v>21.0801801125703</v>
      </c>
      <c r="KV70" s="99">
        <v>21.130636960600299</v>
      </c>
      <c r="KW70" s="99">
        <v>21.181093808630401</v>
      </c>
      <c r="KX70" s="99">
        <v>21.231550656660399</v>
      </c>
      <c r="KY70" s="99">
        <v>21.282007504690402</v>
      </c>
      <c r="KZ70" s="99">
        <v>21.3324643527204</v>
      </c>
      <c r="LA70" s="99">
        <v>21.382921200750399</v>
      </c>
      <c r="LB70" s="99">
        <v>21.433378048780501</v>
      </c>
      <c r="LC70" s="99">
        <v>21.4838348968105</v>
      </c>
      <c r="LD70" s="99">
        <v>21.534291744840498</v>
      </c>
      <c r="LE70" s="99">
        <v>21.584748592870501</v>
      </c>
      <c r="LF70" s="99">
        <v>21.635205440900499</v>
      </c>
      <c r="LG70" s="99">
        <v>21.685662288930502</v>
      </c>
      <c r="LH70" s="99">
        <v>21.7361191369606</v>
      </c>
      <c r="LI70" s="99">
        <v>21.786575984990598</v>
      </c>
      <c r="LJ70" s="99">
        <v>21.837032833020601</v>
      </c>
      <c r="LK70" s="99">
        <v>21.887489681050599</v>
      </c>
      <c r="LL70" s="99">
        <v>21.937946529080602</v>
      </c>
      <c r="LM70" s="99">
        <v>21.9884033771107</v>
      </c>
      <c r="LN70" s="99">
        <v>22.038860225140699</v>
      </c>
      <c r="LO70" s="99">
        <v>22.089317073170701</v>
      </c>
      <c r="LP70" s="99">
        <v>22.1397739212007</v>
      </c>
      <c r="LQ70" s="99">
        <v>22.190230769230698</v>
      </c>
      <c r="LR70" s="99">
        <v>22.2406876172608</v>
      </c>
      <c r="LS70" s="99">
        <v>22.291144465290799</v>
      </c>
      <c r="LT70" s="99">
        <v>22.341601313320801</v>
      </c>
      <c r="LU70" s="99">
        <v>22.3920581613508</v>
      </c>
      <c r="LV70" s="99">
        <v>22.442515009380799</v>
      </c>
      <c r="LW70" s="99">
        <v>22.492971857410801</v>
      </c>
      <c r="LX70" s="99">
        <v>22.543428705440899</v>
      </c>
      <c r="LY70" s="99">
        <v>22.593885553470901</v>
      </c>
      <c r="LZ70" s="99">
        <v>22.6443424015009</v>
      </c>
      <c r="MA70" s="99">
        <v>22.694799249530899</v>
      </c>
      <c r="MB70" s="99">
        <v>22.745256097560901</v>
      </c>
      <c r="MC70" s="99">
        <v>22.795712945590999</v>
      </c>
      <c r="MD70" s="99">
        <v>22.846169793621002</v>
      </c>
      <c r="ME70" s="99">
        <v>22.896626641651</v>
      </c>
      <c r="MF70" s="99">
        <v>22.947083489680999</v>
      </c>
      <c r="MG70" s="99">
        <v>22.997540337711001</v>
      </c>
      <c r="MH70" s="99">
        <v>23.047997185741099</v>
      </c>
      <c r="MI70" s="99">
        <v>23.098454033771102</v>
      </c>
      <c r="MJ70" s="99">
        <v>23.1489108818011</v>
      </c>
      <c r="MK70" s="99">
        <v>23.199367729831099</v>
      </c>
      <c r="ML70" s="99">
        <v>23.249824577861101</v>
      </c>
      <c r="MM70" s="99">
        <v>23.3002814258911</v>
      </c>
      <c r="MN70" s="99">
        <v>23.350738273921198</v>
      </c>
      <c r="MO70" s="99">
        <v>23.401195121951201</v>
      </c>
      <c r="MP70" s="99">
        <v>23.451651969981199</v>
      </c>
      <c r="MQ70" s="99">
        <v>23.502108818011202</v>
      </c>
      <c r="MR70" s="99">
        <v>23.5525656660412</v>
      </c>
      <c r="MS70" s="99">
        <v>23.603022514071299</v>
      </c>
      <c r="MT70" s="99">
        <v>23.653479362101301</v>
      </c>
      <c r="MU70" s="99">
        <v>23.7039362101313</v>
      </c>
      <c r="MV70" s="99">
        <v>23.754393058161298</v>
      </c>
      <c r="MW70" s="99">
        <v>23.804849906191301</v>
      </c>
      <c r="MX70" s="99">
        <v>23.855306754221399</v>
      </c>
      <c r="MY70" s="99">
        <v>23.905763602251401</v>
      </c>
      <c r="MZ70" s="99">
        <v>23.9562204502814</v>
      </c>
      <c r="NA70" s="99">
        <v>24.006677298311399</v>
      </c>
      <c r="NB70" s="99">
        <v>24.057134146341401</v>
      </c>
      <c r="NC70" s="99">
        <v>24.1075909943714</v>
      </c>
      <c r="ND70" s="99">
        <v>24.158047842401501</v>
      </c>
      <c r="NE70" s="99">
        <v>24.2085046904315</v>
      </c>
      <c r="NF70" s="99">
        <v>24.258961538461499</v>
      </c>
      <c r="NG70" s="99">
        <v>24.309418386491501</v>
      </c>
      <c r="NH70" s="99">
        <v>24.3598752345215</v>
      </c>
      <c r="NI70" s="99">
        <v>24.410332082551601</v>
      </c>
      <c r="NJ70" s="99">
        <v>24.4607889305816</v>
      </c>
      <c r="NK70" s="99">
        <v>24.511245778611599</v>
      </c>
      <c r="NL70" s="99">
        <v>24.561702626641601</v>
      </c>
      <c r="NM70" s="99">
        <v>24.6121594746716</v>
      </c>
      <c r="NN70" s="99">
        <v>24.662616322701702</v>
      </c>
      <c r="NO70" s="99">
        <v>24.7130731707317</v>
      </c>
      <c r="NP70" s="99">
        <v>24.763530018761699</v>
      </c>
      <c r="NQ70" s="99">
        <v>24.813986866791701</v>
      </c>
      <c r="NR70" s="99">
        <v>24.8644437148217</v>
      </c>
      <c r="NS70" s="99">
        <v>24.914900562851699</v>
      </c>
      <c r="NT70" s="99">
        <v>24.965357410881801</v>
      </c>
      <c r="NU70" s="99">
        <v>25.015814258911799</v>
      </c>
      <c r="NV70" s="99">
        <v>25.066271106941802</v>
      </c>
      <c r="NW70" s="99">
        <v>25.1167279549718</v>
      </c>
      <c r="NX70" s="99">
        <v>25.167184803001799</v>
      </c>
      <c r="NY70" s="99">
        <v>25.217641651031901</v>
      </c>
      <c r="NZ70" s="99">
        <v>25.2680984990619</v>
      </c>
      <c r="OA70" s="99">
        <v>25.318555347091898</v>
      </c>
      <c r="OB70" s="99">
        <v>25.369012195121901</v>
      </c>
      <c r="OC70" s="99">
        <v>25.419469043151899</v>
      </c>
      <c r="OD70" s="99">
        <v>25.469925891182001</v>
      </c>
      <c r="OE70" s="99">
        <v>25.520382739212</v>
      </c>
      <c r="OF70" s="99">
        <v>25.570839587241998</v>
      </c>
      <c r="OG70" s="99">
        <v>25.621296435272001</v>
      </c>
      <c r="OH70" s="99">
        <v>25.671753283301999</v>
      </c>
      <c r="OI70" s="99">
        <v>25.722210131332002</v>
      </c>
      <c r="OJ70" s="99">
        <v>25.7726669793621</v>
      </c>
      <c r="OK70" s="99">
        <v>25.823123827392099</v>
      </c>
      <c r="OL70" s="99">
        <v>25.873580675422101</v>
      </c>
      <c r="OM70" s="99">
        <v>25.9240375234521</v>
      </c>
      <c r="ON70" s="99">
        <v>25.974494371482098</v>
      </c>
      <c r="OO70" s="99">
        <v>26.0249512195122</v>
      </c>
      <c r="OP70" s="99">
        <v>26.075408067542199</v>
      </c>
      <c r="OQ70" s="99">
        <v>26.125864915572201</v>
      </c>
      <c r="OR70" s="99">
        <v>26.1763217636022</v>
      </c>
      <c r="OS70" s="99">
        <v>26.226778611632199</v>
      </c>
      <c r="OT70" s="99">
        <v>26.2772354596623</v>
      </c>
      <c r="OU70" s="99">
        <v>26.327692307692299</v>
      </c>
      <c r="OV70" s="99">
        <v>26.378149155722301</v>
      </c>
      <c r="OW70" s="99">
        <v>26.4286060037523</v>
      </c>
      <c r="OX70" s="99">
        <v>26.479062851782299</v>
      </c>
      <c r="OY70" s="99">
        <v>26.529519699812301</v>
      </c>
      <c r="OZ70" s="99">
        <v>26.579976547842399</v>
      </c>
      <c r="PA70" s="99">
        <v>26.630433395872402</v>
      </c>
      <c r="PB70" s="99">
        <v>26.6808902439024</v>
      </c>
      <c r="PC70" s="99">
        <v>26.731347091932399</v>
      </c>
      <c r="PD70" s="99">
        <v>26.781803939962401</v>
      </c>
      <c r="PE70" s="99">
        <v>26.832260787992499</v>
      </c>
      <c r="PF70" s="99">
        <v>26.882717636022502</v>
      </c>
      <c r="PG70" s="99">
        <v>26.9331744840525</v>
      </c>
      <c r="PH70" s="99">
        <v>26.983631332082499</v>
      </c>
      <c r="PI70" s="99">
        <v>27.034088180112501</v>
      </c>
      <c r="PJ70" s="99">
        <v>27.0845450281426</v>
      </c>
      <c r="PK70" s="99">
        <v>27.135001876172598</v>
      </c>
      <c r="PL70" s="99">
        <v>27.185458724202601</v>
      </c>
      <c r="PM70" s="99">
        <v>27.235915572232599</v>
      </c>
      <c r="PN70" s="99">
        <v>27.286372420262602</v>
      </c>
      <c r="PO70" s="99">
        <v>27.3368292682926</v>
      </c>
      <c r="PP70" s="99">
        <v>27.387286116322699</v>
      </c>
      <c r="PQ70" s="99">
        <v>27.437742964352701</v>
      </c>
      <c r="PR70" s="99">
        <v>27.4881998123827</v>
      </c>
      <c r="PS70" s="99">
        <v>27.538656660412698</v>
      </c>
      <c r="PT70" s="99">
        <v>27.589113508442701</v>
      </c>
      <c r="PU70" s="99">
        <v>27.639570356472799</v>
      </c>
      <c r="PV70" s="99">
        <v>27.690027204502801</v>
      </c>
      <c r="PW70" s="99">
        <v>27.7404840525328</v>
      </c>
      <c r="PX70" s="99">
        <v>27.790940900562799</v>
      </c>
      <c r="PY70" s="99">
        <v>27.841397748592801</v>
      </c>
      <c r="PZ70" s="99">
        <v>27.891854596622899</v>
      </c>
      <c r="QA70" s="99">
        <v>27.942311444652901</v>
      </c>
      <c r="QB70" s="99">
        <v>27.9927682926829</v>
      </c>
      <c r="QC70" s="99">
        <v>28.043225140712899</v>
      </c>
      <c r="QD70" s="99">
        <v>28.093681988742901</v>
      </c>
      <c r="QE70" s="99">
        <v>28.1441388367729</v>
      </c>
      <c r="QF70" s="99">
        <v>28.194595684803001</v>
      </c>
      <c r="QG70" s="99">
        <v>28.245052532833</v>
      </c>
      <c r="QH70" s="99">
        <v>28.295509380862999</v>
      </c>
      <c r="QI70" s="99">
        <v>28.345966228893001</v>
      </c>
      <c r="QJ70" s="99">
        <v>28.396423076923</v>
      </c>
      <c r="QK70" s="99">
        <v>28.446879924953102</v>
      </c>
      <c r="QL70" s="99">
        <v>28.4973367729831</v>
      </c>
      <c r="QM70" s="99">
        <v>28.547793621013099</v>
      </c>
      <c r="QN70" s="99">
        <v>28.598250469043101</v>
      </c>
      <c r="QO70" s="99">
        <v>28.6487073170731</v>
      </c>
      <c r="QP70" s="99">
        <v>28.699164165103198</v>
      </c>
      <c r="QQ70" s="99">
        <v>28.749621013133201</v>
      </c>
      <c r="QR70" s="99">
        <v>28.800077861163199</v>
      </c>
      <c r="QS70" s="99">
        <v>28.850534709193202</v>
      </c>
      <c r="QT70" s="99">
        <v>28.9009915572232</v>
      </c>
      <c r="QU70" s="99">
        <v>28.951448405253199</v>
      </c>
      <c r="QV70" s="99">
        <v>29.001905253283301</v>
      </c>
      <c r="QW70" s="99">
        <v>29.0523621013133</v>
      </c>
      <c r="QX70" s="99">
        <v>29.102818949343298</v>
      </c>
      <c r="QY70" s="99">
        <v>29.153275797373301</v>
      </c>
      <c r="QZ70" s="99">
        <v>29.203732645403299</v>
      </c>
      <c r="RA70" s="99">
        <v>29.254189493433401</v>
      </c>
      <c r="RB70" s="99">
        <v>29.3046463414634</v>
      </c>
      <c r="RC70" s="99">
        <v>29.355103189493398</v>
      </c>
      <c r="RD70" s="99">
        <v>29.405560037523401</v>
      </c>
      <c r="RE70" s="99">
        <v>29.456016885553399</v>
      </c>
      <c r="RF70" s="99">
        <v>29.506473733583501</v>
      </c>
      <c r="RG70" s="99">
        <v>29.5569305816135</v>
      </c>
      <c r="RH70" s="99">
        <v>29.607387429643499</v>
      </c>
      <c r="RI70" s="99">
        <v>29.657844277673501</v>
      </c>
      <c r="RJ70" s="99">
        <v>29.7083011257035</v>
      </c>
      <c r="RK70" s="99">
        <v>29.758757973733498</v>
      </c>
      <c r="RL70" s="99">
        <v>29.8092148217636</v>
      </c>
      <c r="RM70" s="99">
        <v>29.859671669793599</v>
      </c>
      <c r="RN70" s="99">
        <v>29.910128517823601</v>
      </c>
      <c r="RO70" s="99">
        <v>29.9605853658536</v>
      </c>
      <c r="RP70" s="99">
        <v>30.011042213883599</v>
      </c>
      <c r="RQ70" s="99">
        <v>30.0614990619137</v>
      </c>
      <c r="RR70" s="99">
        <v>30.111955909943699</v>
      </c>
      <c r="RS70" s="99">
        <v>30.162412757973701</v>
      </c>
      <c r="RT70" s="99">
        <v>30.2128696060037</v>
      </c>
      <c r="RU70" s="99">
        <v>30.263326454033699</v>
      </c>
      <c r="RV70" s="99">
        <v>30.313783302063801</v>
      </c>
      <c r="RW70" s="99">
        <v>30.364240150093799</v>
      </c>
      <c r="RX70" s="99">
        <v>30.414696998123802</v>
      </c>
      <c r="RY70" s="99">
        <v>30.4651538461538</v>
      </c>
      <c r="RZ70" s="99">
        <v>30.515610694183799</v>
      </c>
      <c r="SA70" s="99">
        <v>30.566067542213801</v>
      </c>
      <c r="SB70" s="99">
        <v>30.616524390243899</v>
      </c>
      <c r="SC70" s="99">
        <v>30.666981238273902</v>
      </c>
      <c r="SD70" s="99">
        <v>30.7174380863039</v>
      </c>
      <c r="SE70" s="99">
        <v>30.767894934333899</v>
      </c>
      <c r="SF70" s="99">
        <v>30.818351782363901</v>
      </c>
      <c r="SG70" s="99">
        <v>30.868808630394</v>
      </c>
      <c r="SH70" s="99">
        <v>30.919265478423998</v>
      </c>
      <c r="SI70" s="99">
        <v>30.969722326454001</v>
      </c>
      <c r="SJ70" s="99">
        <v>31.020179174483999</v>
      </c>
      <c r="SK70" s="99">
        <v>31.070636022514002</v>
      </c>
      <c r="SL70" s="99">
        <v>31.1210928705441</v>
      </c>
      <c r="SM70" s="99">
        <v>31.171549718574099</v>
      </c>
      <c r="SN70" s="99">
        <v>31.222006566604101</v>
      </c>
      <c r="SO70" s="99">
        <v>31.2724634146341</v>
      </c>
      <c r="SP70" s="99">
        <v>31.322920262664098</v>
      </c>
      <c r="SQ70" s="99">
        <v>31.373377110694101</v>
      </c>
      <c r="SR70" s="99">
        <v>31.423833958724199</v>
      </c>
      <c r="SS70" s="99">
        <v>31.474290806754201</v>
      </c>
      <c r="ST70" s="99">
        <v>31.5247476547842</v>
      </c>
      <c r="SU70" s="99">
        <v>31.575204502814199</v>
      </c>
      <c r="SV70" s="99">
        <v>31.625661350844201</v>
      </c>
      <c r="SW70" s="99">
        <v>31.676118198874299</v>
      </c>
      <c r="SX70" s="99">
        <v>31.726575046904301</v>
      </c>
      <c r="SY70" s="99">
        <v>31.7770318949343</v>
      </c>
      <c r="SZ70" s="99">
        <v>31.827488742964299</v>
      </c>
      <c r="TA70" s="99">
        <v>31.877945590994301</v>
      </c>
      <c r="TB70" s="99">
        <v>31.928402439024399</v>
      </c>
      <c r="TC70" s="99">
        <v>31.978859287054402</v>
      </c>
      <c r="TD70" s="99">
        <v>32.0293161350844</v>
      </c>
      <c r="TE70" s="99">
        <v>32.079772983114403</v>
      </c>
      <c r="TF70" s="99">
        <v>32.130229831144398</v>
      </c>
      <c r="TG70" s="99">
        <v>32.1806866791744</v>
      </c>
      <c r="TH70" s="99">
        <v>32.231143527204502</v>
      </c>
      <c r="TI70" s="99">
        <v>32.281600375234497</v>
      </c>
      <c r="TJ70" s="99">
        <v>32.332057223264499</v>
      </c>
      <c r="TK70" s="99">
        <v>32.382514071294501</v>
      </c>
      <c r="TL70" s="99">
        <v>32.432970919324497</v>
      </c>
      <c r="TM70" s="99">
        <v>32.483427767354598</v>
      </c>
      <c r="TN70" s="99">
        <v>32.533884615384601</v>
      </c>
      <c r="TO70" s="99">
        <v>32.584341463414603</v>
      </c>
      <c r="TP70" s="99">
        <v>32.634798311444598</v>
      </c>
      <c r="TQ70" s="99">
        <v>32.6852551594746</v>
      </c>
      <c r="TR70" s="99">
        <v>32.735712007504702</v>
      </c>
      <c r="TS70" s="99">
        <v>32.786168855534697</v>
      </c>
      <c r="TT70" s="99">
        <v>32.8366257035647</v>
      </c>
      <c r="TU70" s="99">
        <v>32.887082551594702</v>
      </c>
      <c r="TV70" s="99">
        <v>32.937539399624697</v>
      </c>
      <c r="TW70" s="99">
        <v>32.987996247654699</v>
      </c>
      <c r="TX70" s="99">
        <v>33.038453095684801</v>
      </c>
      <c r="TY70" s="99">
        <v>33.088909943714803</v>
      </c>
      <c r="TZ70" s="99">
        <v>33.139366791744798</v>
      </c>
      <c r="UA70" s="99">
        <v>33.189823639774801</v>
      </c>
      <c r="UB70" s="99">
        <v>33.240280487804803</v>
      </c>
      <c r="UC70" s="99">
        <v>33.290737335834898</v>
      </c>
      <c r="UD70" s="99">
        <v>33.3411941838649</v>
      </c>
      <c r="UE70" s="99">
        <v>33.391651031894902</v>
      </c>
      <c r="UF70" s="99">
        <v>33.442107879924897</v>
      </c>
      <c r="UG70" s="99">
        <v>33.4925647279549</v>
      </c>
      <c r="UH70" s="99">
        <v>33.543021575985001</v>
      </c>
      <c r="UI70" s="99">
        <v>33.593478424014997</v>
      </c>
      <c r="UJ70" s="99">
        <v>33.643935272044999</v>
      </c>
      <c r="UK70" s="99">
        <v>33.694392120075001</v>
      </c>
      <c r="UL70" s="99">
        <v>33.744848968105003</v>
      </c>
      <c r="UM70" s="99">
        <v>33.795305816134999</v>
      </c>
      <c r="UN70" s="99">
        <v>33.8457626641651</v>
      </c>
      <c r="UO70" s="99">
        <v>33.896219512195103</v>
      </c>
      <c r="UP70" s="99">
        <v>33.946676360225098</v>
      </c>
      <c r="UQ70" s="99">
        <v>33.9971332082551</v>
      </c>
      <c r="UR70" s="99">
        <v>34.047590056285102</v>
      </c>
      <c r="US70" s="99">
        <v>34.098046904315098</v>
      </c>
      <c r="UT70" s="99">
        <v>34.1485037523451</v>
      </c>
    </row>
    <row r="71" spans="1:566" x14ac:dyDescent="0.2">
      <c r="A71" s="89">
        <v>32.5</v>
      </c>
      <c r="B71" s="90">
        <v>5.64</v>
      </c>
      <c r="C71" s="90">
        <v>5.69</v>
      </c>
      <c r="D71" s="90">
        <v>5.74</v>
      </c>
      <c r="E71" s="90">
        <v>5.79</v>
      </c>
      <c r="F71" s="90">
        <v>5.84</v>
      </c>
      <c r="G71" s="90">
        <v>5.89</v>
      </c>
      <c r="H71" s="90">
        <v>5.94</v>
      </c>
      <c r="I71" s="90">
        <v>5.99</v>
      </c>
      <c r="J71" s="90">
        <v>6.04</v>
      </c>
      <c r="K71" s="90">
        <v>6.09</v>
      </c>
      <c r="L71" s="90">
        <v>6.14</v>
      </c>
      <c r="M71" s="90">
        <v>6.19</v>
      </c>
      <c r="N71" s="90">
        <v>6.24</v>
      </c>
      <c r="O71" s="90">
        <v>6.29</v>
      </c>
      <c r="P71" s="90">
        <v>6.34</v>
      </c>
      <c r="Q71" s="90">
        <v>6.39</v>
      </c>
      <c r="R71" s="90">
        <v>6.44</v>
      </c>
      <c r="S71" s="90">
        <v>6.49</v>
      </c>
      <c r="T71" s="90">
        <v>6.54</v>
      </c>
      <c r="U71" s="91">
        <v>6.59</v>
      </c>
      <c r="V71" s="90">
        <v>6.64</v>
      </c>
      <c r="W71" s="90">
        <v>6.69</v>
      </c>
      <c r="X71" s="90">
        <v>6.74</v>
      </c>
      <c r="Y71" s="90">
        <v>6.79</v>
      </c>
      <c r="Z71" s="90">
        <v>6.84</v>
      </c>
      <c r="AA71" s="90">
        <v>6.89</v>
      </c>
      <c r="AB71" s="90">
        <v>6.94</v>
      </c>
      <c r="AC71" s="90">
        <v>6.99</v>
      </c>
      <c r="AD71" s="90">
        <v>7.04</v>
      </c>
      <c r="AE71" s="90">
        <v>7.09</v>
      </c>
      <c r="AF71" s="90">
        <v>7.14</v>
      </c>
      <c r="AG71" s="90">
        <v>7.19</v>
      </c>
      <c r="AH71" s="90">
        <v>7.24</v>
      </c>
      <c r="AI71" s="90">
        <v>7.29</v>
      </c>
      <c r="AJ71" s="90">
        <v>7.34</v>
      </c>
      <c r="AK71" s="90">
        <v>7.39</v>
      </c>
      <c r="AL71" s="90">
        <v>7.44</v>
      </c>
      <c r="AM71" s="90">
        <v>7.49</v>
      </c>
      <c r="AN71" s="90">
        <v>7.54</v>
      </c>
      <c r="AO71" s="91">
        <v>7.59</v>
      </c>
      <c r="AP71" s="90">
        <v>7.6400000000000299</v>
      </c>
      <c r="AQ71" s="90">
        <v>7.6900000000000297</v>
      </c>
      <c r="AR71" s="90">
        <v>7.7400000000000304</v>
      </c>
      <c r="AS71" s="90">
        <v>7.7900000000000302</v>
      </c>
      <c r="AT71" s="90">
        <v>7.8400000000000301</v>
      </c>
      <c r="AU71" s="90">
        <v>7.8900000000000299</v>
      </c>
      <c r="AV71" s="90">
        <v>7.9400000000000297</v>
      </c>
      <c r="AW71" s="90">
        <v>7.9900000000000304</v>
      </c>
      <c r="AX71" s="90">
        <v>8.0400000000000293</v>
      </c>
      <c r="AY71" s="90">
        <v>8.0900000000000301</v>
      </c>
      <c r="AZ71" s="90">
        <v>8.1400000000000396</v>
      </c>
      <c r="BA71" s="90">
        <v>8.1900000000000404</v>
      </c>
      <c r="BB71" s="90">
        <v>8.2400000000000393</v>
      </c>
      <c r="BC71" s="90">
        <v>8.29000000000004</v>
      </c>
      <c r="BD71" s="90">
        <v>8.3400000000000407</v>
      </c>
      <c r="BE71" s="90">
        <v>8.3900000000000396</v>
      </c>
      <c r="BF71" s="90">
        <v>8.4400000000000404</v>
      </c>
      <c r="BG71" s="90">
        <v>8.4900000000000393</v>
      </c>
      <c r="BH71" s="90">
        <v>8.54000000000004</v>
      </c>
      <c r="BI71" s="91">
        <v>8.5900000000000407</v>
      </c>
      <c r="BJ71" s="90">
        <v>8.6400000000000396</v>
      </c>
      <c r="BK71" s="99">
        <v>8.6900000000000404</v>
      </c>
      <c r="BL71" s="99">
        <v>8.7400000000000393</v>
      </c>
      <c r="BM71" s="99">
        <v>8.79000000000004</v>
      </c>
      <c r="BN71" s="99">
        <v>8.8400000000000496</v>
      </c>
      <c r="BO71" s="99">
        <v>8.8900000000000503</v>
      </c>
      <c r="BP71" s="99">
        <v>8.9400000000000492</v>
      </c>
      <c r="BQ71" s="99">
        <v>8.99000000000005</v>
      </c>
      <c r="BR71" s="99">
        <v>9.0400000000000507</v>
      </c>
      <c r="BS71" s="99">
        <v>9.0900000000000496</v>
      </c>
      <c r="BT71" s="99">
        <v>9.1400000000000503</v>
      </c>
      <c r="BU71" s="99">
        <v>9.1900000000000492</v>
      </c>
      <c r="BV71" s="99">
        <v>9.24000000000005</v>
      </c>
      <c r="BW71" s="99">
        <v>9.2900000000000507</v>
      </c>
      <c r="BX71" s="99">
        <v>9.3400000000000496</v>
      </c>
      <c r="BY71" s="99">
        <v>9.3900000000000503</v>
      </c>
      <c r="BZ71" s="99">
        <v>9.4400000000000492</v>
      </c>
      <c r="CA71" s="99">
        <v>9.49000000000005</v>
      </c>
      <c r="CB71" s="99">
        <v>9.5400000000000595</v>
      </c>
      <c r="CC71" s="99">
        <v>9.5900000000000603</v>
      </c>
      <c r="CD71" s="99">
        <v>9.6400000000000592</v>
      </c>
      <c r="CE71" s="99">
        <v>9.6900000000000599</v>
      </c>
      <c r="CF71" s="99">
        <v>9.7400000000000606</v>
      </c>
      <c r="CG71" s="99">
        <v>9.7900000000000595</v>
      </c>
      <c r="CH71" s="99">
        <v>9.8400000000000603</v>
      </c>
      <c r="CI71" s="99">
        <v>9.8900000000000592</v>
      </c>
      <c r="CJ71" s="99">
        <v>9.9400000000000599</v>
      </c>
      <c r="CK71" s="99">
        <v>9.9900000000000606</v>
      </c>
      <c r="CL71" s="99">
        <v>10.0400000000001</v>
      </c>
      <c r="CM71" s="99">
        <v>10.090000000000099</v>
      </c>
      <c r="CN71" s="99">
        <v>10.1400000000001</v>
      </c>
      <c r="CO71" s="99">
        <v>10.190000000000101</v>
      </c>
      <c r="CP71" s="99">
        <v>10.2400000000001</v>
      </c>
      <c r="CQ71" s="99">
        <v>10.2900000000001</v>
      </c>
      <c r="CR71" s="99">
        <v>10.340000000000099</v>
      </c>
      <c r="CS71" s="99">
        <v>10.3900000000001</v>
      </c>
      <c r="CT71" s="99">
        <v>10.440000000000101</v>
      </c>
      <c r="CU71" s="99">
        <v>10.4900000000001</v>
      </c>
      <c r="CV71" s="99">
        <v>10.5400000000001</v>
      </c>
      <c r="CW71" s="99">
        <v>10.590000000000099</v>
      </c>
      <c r="CX71" s="99">
        <v>10.6400000000001</v>
      </c>
      <c r="CY71" s="99">
        <v>10.690000000000101</v>
      </c>
      <c r="CZ71" s="99">
        <v>10.7400000000001</v>
      </c>
      <c r="DA71" s="99">
        <v>10.7900000000001</v>
      </c>
      <c r="DB71" s="99">
        <v>10.840000000000099</v>
      </c>
      <c r="DC71" s="99">
        <v>10.8900000000001</v>
      </c>
      <c r="DD71" s="99">
        <v>10.940000000000101</v>
      </c>
      <c r="DE71" s="99">
        <v>10.9900000000001</v>
      </c>
      <c r="DF71" s="99">
        <v>11.0400000000001</v>
      </c>
      <c r="DG71" s="99">
        <v>11.090000000000099</v>
      </c>
      <c r="DH71" s="99">
        <v>11.1400000000001</v>
      </c>
      <c r="DI71" s="99">
        <v>11.190000000000101</v>
      </c>
      <c r="DJ71" s="99">
        <v>11.2400000000001</v>
      </c>
      <c r="DK71" s="99">
        <v>11.2900000000001</v>
      </c>
      <c r="DL71" s="99">
        <v>11.340000000000099</v>
      </c>
      <c r="DM71" s="99">
        <v>11.3900000000001</v>
      </c>
      <c r="DN71" s="99">
        <v>11.440000000000101</v>
      </c>
      <c r="DO71" s="99">
        <v>11.4900000000001</v>
      </c>
      <c r="DP71" s="99">
        <v>11.5400000000001</v>
      </c>
      <c r="DQ71" s="99">
        <v>11.590000000000099</v>
      </c>
      <c r="DR71" s="99">
        <v>11.6400000000001</v>
      </c>
      <c r="DS71" s="99">
        <v>11.690000000000101</v>
      </c>
      <c r="DT71" s="99">
        <v>11.7400000000001</v>
      </c>
      <c r="DU71" s="99">
        <v>11.7900000000001</v>
      </c>
      <c r="DV71" s="99">
        <v>11.840000000000099</v>
      </c>
      <c r="DW71" s="99">
        <v>11.8900000000001</v>
      </c>
      <c r="DX71" s="99">
        <v>11.940000000000101</v>
      </c>
      <c r="DY71" s="99">
        <v>11.9900000000001</v>
      </c>
      <c r="DZ71" s="99">
        <v>12.0400000000001</v>
      </c>
      <c r="EA71" s="99">
        <v>12.090000000000099</v>
      </c>
      <c r="EB71" s="99">
        <v>12.1400000000001</v>
      </c>
      <c r="EC71" s="99">
        <v>12.190000000000101</v>
      </c>
      <c r="ED71" s="99">
        <v>12.2400000000001</v>
      </c>
      <c r="EE71" s="99">
        <v>12.2900000000001</v>
      </c>
      <c r="EF71" s="99">
        <v>12.340000000000099</v>
      </c>
      <c r="EG71" s="99">
        <v>12.3900000000001</v>
      </c>
      <c r="EH71" s="99">
        <v>12.440000000000101</v>
      </c>
      <c r="EI71" s="99">
        <v>12.4900000000001</v>
      </c>
      <c r="EJ71" s="99">
        <v>12.5400000000001</v>
      </c>
      <c r="EK71" s="99">
        <v>12.590000000000099</v>
      </c>
      <c r="EL71" s="99">
        <v>12.6400000000001</v>
      </c>
      <c r="EM71" s="99">
        <v>12.690000000000101</v>
      </c>
      <c r="EN71" s="99">
        <v>12.7400000000001</v>
      </c>
      <c r="EO71" s="99">
        <v>12.7900000000001</v>
      </c>
      <c r="EP71" s="99">
        <v>12.840000000000099</v>
      </c>
      <c r="EQ71" s="99">
        <v>12.8900000000001</v>
      </c>
      <c r="ER71" s="99">
        <v>12.940000000000101</v>
      </c>
      <c r="ES71" s="99">
        <v>12.9900000000001</v>
      </c>
      <c r="ET71" s="99">
        <v>13.0400000000001</v>
      </c>
      <c r="EU71" s="99">
        <v>13.090000000000099</v>
      </c>
      <c r="EV71" s="99">
        <v>13.1400000000001</v>
      </c>
      <c r="EW71" s="99">
        <v>13.190000000000101</v>
      </c>
      <c r="EX71" s="99">
        <v>13.2400000000001</v>
      </c>
      <c r="EY71" s="99">
        <v>13.2900000000001</v>
      </c>
      <c r="EZ71" s="99">
        <v>13.340000000000099</v>
      </c>
      <c r="FA71" s="99">
        <v>13.3900000000001</v>
      </c>
      <c r="FB71" s="99">
        <v>13.440000000000101</v>
      </c>
      <c r="FC71" s="99">
        <v>13.4900000000001</v>
      </c>
      <c r="FD71" s="99">
        <v>13.5400000000001</v>
      </c>
      <c r="FE71" s="99">
        <v>13.590000000000099</v>
      </c>
      <c r="FF71" s="99">
        <v>13.6400000000001</v>
      </c>
      <c r="FG71" s="99">
        <v>13.690000000000101</v>
      </c>
      <c r="FH71" s="99">
        <v>13.7400000000001</v>
      </c>
      <c r="FI71" s="99">
        <v>13.7900000000001</v>
      </c>
      <c r="FJ71" s="99">
        <v>13.840000000000099</v>
      </c>
      <c r="FK71" s="99">
        <v>13.8900000000001</v>
      </c>
      <c r="FL71" s="99">
        <v>13.940000000000101</v>
      </c>
      <c r="FM71" s="99">
        <v>13.9900000000001</v>
      </c>
      <c r="FN71" s="99">
        <v>14.0400000000001</v>
      </c>
      <c r="FO71" s="99">
        <v>14.090000000000099</v>
      </c>
      <c r="FP71" s="99">
        <v>14.1400000000001</v>
      </c>
      <c r="FQ71" s="99">
        <v>14.190000000000101</v>
      </c>
      <c r="FR71" s="99">
        <v>14.2400000000001</v>
      </c>
      <c r="FS71" s="99">
        <v>14.2900000000001</v>
      </c>
      <c r="FT71" s="99">
        <v>14.340000000000099</v>
      </c>
      <c r="FU71" s="99">
        <v>14.3900000000001</v>
      </c>
      <c r="FV71" s="99">
        <v>14.440000000000101</v>
      </c>
      <c r="FW71" s="99">
        <v>14.4900000000001</v>
      </c>
      <c r="FX71" s="99">
        <v>14.5400000000001</v>
      </c>
      <c r="FY71" s="99">
        <v>14.590000000000099</v>
      </c>
      <c r="FZ71" s="99">
        <v>14.6400000000001</v>
      </c>
      <c r="GA71" s="99">
        <v>14.690000000000101</v>
      </c>
      <c r="GB71" s="99">
        <v>14.7400000000001</v>
      </c>
      <c r="GC71" s="99">
        <v>14.7900000000001</v>
      </c>
      <c r="GD71" s="99">
        <v>14.840000000000099</v>
      </c>
      <c r="GE71" s="99">
        <v>14.8900000000001</v>
      </c>
      <c r="GF71" s="99">
        <v>14.940000000000101</v>
      </c>
      <c r="GG71" s="99">
        <v>14.9900000000001</v>
      </c>
      <c r="GH71" s="99">
        <v>15.0400000000001</v>
      </c>
      <c r="GI71" s="99">
        <v>15.090000000000099</v>
      </c>
      <c r="GJ71" s="99">
        <v>15.1400000000001</v>
      </c>
      <c r="GK71" s="99">
        <v>15.190000000000101</v>
      </c>
      <c r="GL71" s="99">
        <v>15.2400000000001</v>
      </c>
      <c r="GM71" s="99">
        <v>15.2900000000001</v>
      </c>
      <c r="GN71" s="99">
        <v>15.340000000000099</v>
      </c>
      <c r="GO71" s="99">
        <v>15.3900000000001</v>
      </c>
      <c r="GP71" s="99">
        <v>15.440000000000101</v>
      </c>
      <c r="GQ71" s="99">
        <v>15.4900000000001</v>
      </c>
      <c r="GR71" s="99">
        <v>15.5400000000001</v>
      </c>
      <c r="GS71" s="99">
        <v>15.590000000000099</v>
      </c>
      <c r="GT71" s="99">
        <v>15.6400000000001</v>
      </c>
      <c r="GU71" s="99">
        <v>15.690000000000101</v>
      </c>
      <c r="GV71" s="99">
        <v>15.7400000000001</v>
      </c>
      <c r="GW71" s="99">
        <v>15.7900000000001</v>
      </c>
      <c r="GX71" s="99">
        <v>15.840000000000099</v>
      </c>
      <c r="GY71" s="99">
        <v>15.8900000000001</v>
      </c>
      <c r="GZ71" s="99">
        <v>15.940000000000101</v>
      </c>
      <c r="HA71" s="99">
        <v>15.9900000000001</v>
      </c>
      <c r="HB71" s="99">
        <v>16.040000000000099</v>
      </c>
      <c r="HC71" s="99">
        <v>16.090000000000099</v>
      </c>
      <c r="HD71" s="99">
        <v>16.1400000000001</v>
      </c>
      <c r="HE71" s="99">
        <v>16.190000000000101</v>
      </c>
      <c r="HF71" s="99">
        <v>16.240000000000201</v>
      </c>
      <c r="HG71" s="99">
        <v>16.290000000000202</v>
      </c>
      <c r="HH71" s="99">
        <v>16.340000000000199</v>
      </c>
      <c r="HI71" s="99">
        <v>16.3900000000002</v>
      </c>
      <c r="HJ71" s="99">
        <v>16.4400000000002</v>
      </c>
      <c r="HK71" s="99">
        <v>16.490000000000201</v>
      </c>
      <c r="HL71" s="99">
        <v>16.540000000000202</v>
      </c>
      <c r="HM71" s="99">
        <v>16.590000000000199</v>
      </c>
      <c r="HN71" s="99">
        <v>16.6400000000002</v>
      </c>
      <c r="HO71" s="99">
        <v>16.6900000000002</v>
      </c>
      <c r="HP71" s="99">
        <v>16.740000000000201</v>
      </c>
      <c r="HQ71" s="99">
        <v>16.790000000000202</v>
      </c>
      <c r="HR71" s="99">
        <v>16.840000000000199</v>
      </c>
      <c r="HS71" s="99">
        <v>16.8900000000002</v>
      </c>
      <c r="HT71" s="99">
        <v>16.9400000000002</v>
      </c>
      <c r="HU71" s="99">
        <v>16.990000000000201</v>
      </c>
      <c r="HV71" s="99">
        <v>17.040000000000202</v>
      </c>
      <c r="HW71" s="99">
        <v>17.090000000000199</v>
      </c>
      <c r="HX71" s="99">
        <v>17.1400000000002</v>
      </c>
      <c r="HY71" s="99">
        <v>17.1900000000002</v>
      </c>
      <c r="HZ71" s="99">
        <v>17.240000000000201</v>
      </c>
      <c r="IA71" s="99">
        <v>17.290000000000202</v>
      </c>
      <c r="IB71" s="99">
        <v>17.340000000000199</v>
      </c>
      <c r="IC71" s="99">
        <v>17.3900000000002</v>
      </c>
      <c r="ID71" s="99">
        <v>17.4400000000002</v>
      </c>
      <c r="IE71" s="99">
        <v>17.490000000000201</v>
      </c>
      <c r="IF71" s="99">
        <v>17.540000000000202</v>
      </c>
      <c r="IG71" s="99">
        <v>17.590000000000199</v>
      </c>
      <c r="IH71" s="99">
        <v>17.6400000000002</v>
      </c>
      <c r="II71" s="99">
        <v>17.6900000000002</v>
      </c>
      <c r="IJ71" s="99">
        <v>17.740000000000201</v>
      </c>
      <c r="IK71" s="99">
        <v>17.790000000000202</v>
      </c>
      <c r="IL71" s="99">
        <v>17.840000000000199</v>
      </c>
      <c r="IM71" s="99">
        <v>17.8900000000002</v>
      </c>
      <c r="IN71" s="99">
        <v>17.9400000000002</v>
      </c>
      <c r="IO71" s="99">
        <v>17.990000000000201</v>
      </c>
      <c r="IP71" s="99">
        <v>18.040000000000202</v>
      </c>
      <c r="IQ71" s="99">
        <v>18.090000000000199</v>
      </c>
      <c r="IR71" s="99">
        <v>18.1400000000002</v>
      </c>
      <c r="IS71" s="99">
        <v>18.1900000000002</v>
      </c>
      <c r="IT71" s="99">
        <v>18.240000000000201</v>
      </c>
      <c r="IU71" s="99">
        <v>18.290000000000202</v>
      </c>
      <c r="IV71" s="99">
        <v>18.340000000000199</v>
      </c>
      <c r="IW71" s="99">
        <v>18.3900000000002</v>
      </c>
      <c r="IX71" s="99">
        <v>18.4400000000002</v>
      </c>
      <c r="IY71" s="99">
        <v>18.490000000000201</v>
      </c>
      <c r="IZ71" s="99">
        <v>18.540000000000202</v>
      </c>
      <c r="JA71" s="99">
        <v>18.590000000000199</v>
      </c>
      <c r="JB71" s="99">
        <v>18.6400000000002</v>
      </c>
      <c r="JC71" s="99">
        <v>18.6900000000002</v>
      </c>
      <c r="JD71" s="99">
        <v>18.740000000000201</v>
      </c>
      <c r="JE71" s="99">
        <v>18.790000000000202</v>
      </c>
      <c r="JF71" s="99">
        <v>18.840000000000199</v>
      </c>
      <c r="JG71" s="99">
        <v>18.8900000000002</v>
      </c>
      <c r="JH71" s="99">
        <v>18.9400000000002</v>
      </c>
      <c r="JI71" s="99">
        <v>18.990000000000201</v>
      </c>
      <c r="JJ71" s="99">
        <v>19.040000000000202</v>
      </c>
      <c r="JK71" s="99">
        <v>19.090000000000199</v>
      </c>
      <c r="JL71" s="99">
        <v>19.1400000000002</v>
      </c>
      <c r="JM71" s="99">
        <v>19.1900000000002</v>
      </c>
      <c r="JN71" s="99">
        <v>19.240000000000201</v>
      </c>
      <c r="JO71" s="99">
        <v>19.290000000000202</v>
      </c>
      <c r="JP71" s="99">
        <v>19.340000000000199</v>
      </c>
      <c r="JQ71" s="99">
        <v>19.3900000000002</v>
      </c>
      <c r="JR71" s="99">
        <v>19.4400000000002</v>
      </c>
      <c r="JS71" s="99">
        <v>19.490000000000201</v>
      </c>
      <c r="JT71" s="99">
        <v>19.540000000000202</v>
      </c>
      <c r="JU71" s="99">
        <v>19.590000000000199</v>
      </c>
      <c r="JV71" s="99">
        <v>19.6400000000002</v>
      </c>
      <c r="JW71" s="99">
        <v>19.6900000000002</v>
      </c>
      <c r="JX71" s="99">
        <v>19.740000000000201</v>
      </c>
      <c r="JY71" s="99">
        <v>19.790000000000202</v>
      </c>
      <c r="JZ71" s="99">
        <v>19.840000000000199</v>
      </c>
      <c r="KA71" s="99">
        <v>19.8900000000002</v>
      </c>
      <c r="KB71" s="99">
        <v>19.9400000000002</v>
      </c>
      <c r="KC71" s="99">
        <v>19.990000000000201</v>
      </c>
      <c r="KD71" s="99">
        <v>20.040000000000202</v>
      </c>
      <c r="KE71" s="99">
        <v>20.090000000000199</v>
      </c>
      <c r="KF71" s="99">
        <v>20.1400000000002</v>
      </c>
      <c r="KG71" s="99">
        <v>20.1900000000002</v>
      </c>
      <c r="KH71" s="99">
        <v>20.240000000000201</v>
      </c>
      <c r="KI71" s="99">
        <v>20.290000000000202</v>
      </c>
      <c r="KJ71" s="99">
        <v>20.340000000000199</v>
      </c>
      <c r="KK71" s="99">
        <v>20.3900000000002</v>
      </c>
      <c r="KL71" s="99">
        <v>20.4400000000002</v>
      </c>
      <c r="KM71" s="99">
        <v>20.490000000000201</v>
      </c>
      <c r="KN71" s="99">
        <v>20.540000000000202</v>
      </c>
      <c r="KO71" s="99">
        <v>20.590000000000199</v>
      </c>
      <c r="KP71" s="99">
        <v>20.6400000000002</v>
      </c>
      <c r="KQ71" s="99">
        <v>20.6900000000002</v>
      </c>
      <c r="KR71" s="99">
        <v>20.740000000000201</v>
      </c>
      <c r="KS71" s="99">
        <v>20.790000000000202</v>
      </c>
      <c r="KT71" s="99">
        <v>20.840000000000199</v>
      </c>
      <c r="KU71" s="99">
        <v>20.8900000000002</v>
      </c>
      <c r="KV71" s="99">
        <v>20.9400000000002</v>
      </c>
      <c r="KW71" s="99">
        <v>20.990000000000201</v>
      </c>
      <c r="KX71" s="99">
        <v>21.040000000000202</v>
      </c>
      <c r="KY71" s="99">
        <v>21.090000000000199</v>
      </c>
      <c r="KZ71" s="99">
        <v>21.1400000000002</v>
      </c>
      <c r="LA71" s="99">
        <v>21.1900000000002</v>
      </c>
      <c r="LB71" s="99">
        <v>21.240000000000201</v>
      </c>
      <c r="LC71" s="99">
        <v>21.290000000000202</v>
      </c>
      <c r="LD71" s="99">
        <v>21.340000000000199</v>
      </c>
      <c r="LE71" s="99">
        <v>21.3900000000002</v>
      </c>
      <c r="LF71" s="99">
        <v>21.4400000000002</v>
      </c>
      <c r="LG71" s="99">
        <v>21.490000000000201</v>
      </c>
      <c r="LH71" s="99">
        <v>21.540000000000202</v>
      </c>
      <c r="LI71" s="99">
        <v>21.590000000000199</v>
      </c>
      <c r="LJ71" s="99">
        <v>21.6400000000002</v>
      </c>
      <c r="LK71" s="99">
        <v>21.6900000000002</v>
      </c>
      <c r="LL71" s="99">
        <v>21.740000000000201</v>
      </c>
      <c r="LM71" s="99">
        <v>21.790000000000202</v>
      </c>
      <c r="LN71" s="99">
        <v>21.840000000000199</v>
      </c>
      <c r="LO71" s="99">
        <v>21.8900000000002</v>
      </c>
      <c r="LP71" s="99">
        <v>21.9400000000002</v>
      </c>
      <c r="LQ71" s="99">
        <v>21.990000000000201</v>
      </c>
      <c r="LR71" s="99">
        <v>22.040000000000202</v>
      </c>
      <c r="LS71" s="99">
        <v>22.090000000000199</v>
      </c>
      <c r="LT71" s="99">
        <v>22.1400000000002</v>
      </c>
      <c r="LU71" s="99">
        <v>22.1900000000002</v>
      </c>
      <c r="LV71" s="99">
        <v>22.240000000000201</v>
      </c>
      <c r="LW71" s="99">
        <v>22.290000000000202</v>
      </c>
      <c r="LX71" s="99">
        <v>22.340000000000199</v>
      </c>
      <c r="LY71" s="99">
        <v>22.3900000000002</v>
      </c>
      <c r="LZ71" s="99">
        <v>22.4400000000002</v>
      </c>
      <c r="MA71" s="99">
        <v>22.490000000000201</v>
      </c>
      <c r="MB71" s="99">
        <v>22.540000000000202</v>
      </c>
      <c r="MC71" s="99">
        <v>22.590000000000199</v>
      </c>
      <c r="MD71" s="99">
        <v>22.6400000000002</v>
      </c>
      <c r="ME71" s="99">
        <v>22.6900000000002</v>
      </c>
      <c r="MF71" s="99">
        <v>22.740000000000201</v>
      </c>
      <c r="MG71" s="99">
        <v>22.790000000000202</v>
      </c>
      <c r="MH71" s="99">
        <v>22.840000000000199</v>
      </c>
      <c r="MI71" s="99">
        <v>22.8900000000002</v>
      </c>
      <c r="MJ71" s="99">
        <v>22.9400000000002</v>
      </c>
      <c r="MK71" s="99">
        <v>22.990000000000201</v>
      </c>
      <c r="ML71" s="99">
        <v>23.040000000000202</v>
      </c>
      <c r="MM71" s="99">
        <v>23.090000000000199</v>
      </c>
      <c r="MN71" s="99">
        <v>23.1400000000002</v>
      </c>
      <c r="MO71" s="99">
        <v>23.1900000000002</v>
      </c>
      <c r="MP71" s="99">
        <v>23.2400000000003</v>
      </c>
      <c r="MQ71" s="99">
        <v>23.290000000000301</v>
      </c>
      <c r="MR71" s="99">
        <v>23.340000000000298</v>
      </c>
      <c r="MS71" s="99">
        <v>23.390000000000299</v>
      </c>
      <c r="MT71" s="99">
        <v>23.4400000000003</v>
      </c>
      <c r="MU71" s="99">
        <v>23.4900000000003</v>
      </c>
      <c r="MV71" s="99">
        <v>23.540000000000301</v>
      </c>
      <c r="MW71" s="99">
        <v>23.590000000000298</v>
      </c>
      <c r="MX71" s="99">
        <v>23.640000000000299</v>
      </c>
      <c r="MY71" s="99">
        <v>23.6900000000003</v>
      </c>
      <c r="MZ71" s="99">
        <v>23.7400000000003</v>
      </c>
      <c r="NA71" s="99">
        <v>23.790000000000301</v>
      </c>
      <c r="NB71" s="99">
        <v>23.840000000000298</v>
      </c>
      <c r="NC71" s="99">
        <v>23.890000000000299</v>
      </c>
      <c r="ND71" s="99">
        <v>23.9400000000003</v>
      </c>
      <c r="NE71" s="99">
        <v>23.9900000000003</v>
      </c>
      <c r="NF71" s="99">
        <v>24.040000000000301</v>
      </c>
      <c r="NG71" s="99">
        <v>24.090000000000298</v>
      </c>
      <c r="NH71" s="99">
        <v>24.140000000000299</v>
      </c>
      <c r="NI71" s="99">
        <v>24.1900000000003</v>
      </c>
      <c r="NJ71" s="99">
        <v>24.2400000000003</v>
      </c>
      <c r="NK71" s="99">
        <v>24.290000000000301</v>
      </c>
      <c r="NL71" s="99">
        <v>24.340000000000298</v>
      </c>
      <c r="NM71" s="99">
        <v>24.390000000000299</v>
      </c>
      <c r="NN71" s="99">
        <v>24.4400000000003</v>
      </c>
      <c r="NO71" s="99">
        <v>24.4900000000003</v>
      </c>
      <c r="NP71" s="99">
        <v>24.540000000000301</v>
      </c>
      <c r="NQ71" s="99">
        <v>24.590000000000298</v>
      </c>
      <c r="NR71" s="99">
        <v>24.640000000000299</v>
      </c>
      <c r="NS71" s="99">
        <v>24.6900000000003</v>
      </c>
      <c r="NT71" s="99">
        <v>24.7400000000003</v>
      </c>
      <c r="NU71" s="99">
        <v>24.790000000000301</v>
      </c>
      <c r="NV71" s="99">
        <v>24.840000000000298</v>
      </c>
      <c r="NW71" s="99">
        <v>24.890000000000299</v>
      </c>
      <c r="NX71" s="99">
        <v>24.9400000000003</v>
      </c>
      <c r="NY71" s="99">
        <v>24.9900000000003</v>
      </c>
      <c r="NZ71" s="99">
        <v>25.040000000000301</v>
      </c>
      <c r="OA71" s="99">
        <v>25.090000000000298</v>
      </c>
      <c r="OB71" s="99">
        <v>25.140000000000299</v>
      </c>
      <c r="OC71" s="99">
        <v>25.1900000000003</v>
      </c>
      <c r="OD71" s="99">
        <v>25.2400000000003</v>
      </c>
      <c r="OE71" s="99">
        <v>25.290000000000301</v>
      </c>
      <c r="OF71" s="99">
        <v>25.340000000000298</v>
      </c>
      <c r="OG71" s="99">
        <v>25.390000000000299</v>
      </c>
      <c r="OH71" s="99">
        <v>25.4400000000003</v>
      </c>
      <c r="OI71" s="99">
        <v>25.4900000000003</v>
      </c>
      <c r="OJ71" s="99">
        <v>25.540000000000301</v>
      </c>
      <c r="OK71" s="99">
        <v>25.590000000000298</v>
      </c>
      <c r="OL71" s="99">
        <v>25.640000000000299</v>
      </c>
      <c r="OM71" s="99">
        <v>25.6900000000003</v>
      </c>
      <c r="ON71" s="99">
        <v>25.7400000000003</v>
      </c>
      <c r="OO71" s="99">
        <v>25.790000000000301</v>
      </c>
      <c r="OP71" s="99">
        <v>25.840000000000298</v>
      </c>
      <c r="OQ71" s="99">
        <v>25.890000000000299</v>
      </c>
      <c r="OR71" s="99">
        <v>25.9400000000003</v>
      </c>
      <c r="OS71" s="99">
        <v>25.9900000000003</v>
      </c>
      <c r="OT71" s="99">
        <v>26.040000000000301</v>
      </c>
      <c r="OU71" s="99">
        <v>26.090000000000298</v>
      </c>
      <c r="OV71" s="99">
        <v>26.140000000000299</v>
      </c>
      <c r="OW71" s="99">
        <v>26.1900000000003</v>
      </c>
      <c r="OX71" s="99">
        <v>26.2400000000003</v>
      </c>
      <c r="OY71" s="99">
        <v>26.290000000000301</v>
      </c>
      <c r="OZ71" s="99">
        <v>26.340000000000298</v>
      </c>
      <c r="PA71" s="99">
        <v>26.390000000000299</v>
      </c>
      <c r="PB71" s="99">
        <v>26.4400000000003</v>
      </c>
      <c r="PC71" s="99">
        <v>26.4900000000003</v>
      </c>
      <c r="PD71" s="99">
        <v>26.540000000000301</v>
      </c>
      <c r="PE71" s="99">
        <v>26.590000000000298</v>
      </c>
      <c r="PF71" s="99">
        <v>26.640000000000299</v>
      </c>
      <c r="PG71" s="99">
        <v>26.6900000000003</v>
      </c>
      <c r="PH71" s="99">
        <v>26.7400000000003</v>
      </c>
      <c r="PI71" s="99">
        <v>26.790000000000301</v>
      </c>
      <c r="PJ71" s="99">
        <v>26.840000000000298</v>
      </c>
      <c r="PK71" s="99">
        <v>26.890000000000299</v>
      </c>
      <c r="PL71" s="99">
        <v>26.9400000000003</v>
      </c>
      <c r="PM71" s="99">
        <v>26.9900000000003</v>
      </c>
      <c r="PN71" s="99">
        <v>27.040000000000301</v>
      </c>
      <c r="PO71" s="99">
        <v>27.090000000000298</v>
      </c>
      <c r="PP71" s="99">
        <v>27.140000000000299</v>
      </c>
      <c r="PQ71" s="99">
        <v>27.1900000000003</v>
      </c>
      <c r="PR71" s="99">
        <v>27.2400000000003</v>
      </c>
      <c r="PS71" s="99">
        <v>27.290000000000301</v>
      </c>
      <c r="PT71" s="99">
        <v>27.340000000000298</v>
      </c>
      <c r="PU71" s="99">
        <v>27.390000000000299</v>
      </c>
      <c r="PV71" s="99">
        <v>27.4400000000003</v>
      </c>
      <c r="PW71" s="99">
        <v>27.4900000000003</v>
      </c>
      <c r="PX71" s="99">
        <v>27.540000000000301</v>
      </c>
      <c r="PY71" s="99">
        <v>27.590000000000298</v>
      </c>
      <c r="PZ71" s="99">
        <v>27.640000000000299</v>
      </c>
      <c r="QA71" s="99">
        <v>27.6900000000003</v>
      </c>
      <c r="QB71" s="99">
        <v>27.7400000000003</v>
      </c>
      <c r="QC71" s="99">
        <v>27.790000000000301</v>
      </c>
      <c r="QD71" s="99">
        <v>27.840000000000298</v>
      </c>
      <c r="QE71" s="99">
        <v>27.890000000000299</v>
      </c>
      <c r="QF71" s="99">
        <v>27.9400000000003</v>
      </c>
      <c r="QG71" s="99">
        <v>27.9900000000003</v>
      </c>
      <c r="QH71" s="99">
        <v>28.040000000000301</v>
      </c>
      <c r="QI71" s="99">
        <v>28.090000000000298</v>
      </c>
      <c r="QJ71" s="99">
        <v>28.140000000000299</v>
      </c>
      <c r="QK71" s="99">
        <v>28.1900000000003</v>
      </c>
      <c r="QL71" s="99">
        <v>28.2400000000003</v>
      </c>
      <c r="QM71" s="99">
        <v>28.290000000000301</v>
      </c>
      <c r="QN71" s="99">
        <v>28.340000000000298</v>
      </c>
      <c r="QO71" s="99">
        <v>28.390000000000299</v>
      </c>
      <c r="QP71" s="99">
        <v>28.4400000000003</v>
      </c>
      <c r="QQ71" s="99">
        <v>28.4900000000003</v>
      </c>
      <c r="QR71" s="99">
        <v>28.540000000000301</v>
      </c>
      <c r="QS71" s="99">
        <v>28.590000000000298</v>
      </c>
      <c r="QT71" s="99">
        <v>28.640000000000299</v>
      </c>
      <c r="QU71" s="99">
        <v>28.6900000000003</v>
      </c>
      <c r="QV71" s="99">
        <v>28.7400000000003</v>
      </c>
      <c r="QW71" s="99">
        <v>28.790000000000301</v>
      </c>
      <c r="QX71" s="99">
        <v>28.840000000000298</v>
      </c>
      <c r="QY71" s="99">
        <v>28.890000000000299</v>
      </c>
      <c r="QZ71" s="99">
        <v>28.9400000000003</v>
      </c>
      <c r="RA71" s="99">
        <v>28.9900000000003</v>
      </c>
      <c r="RB71" s="99">
        <v>29.040000000000301</v>
      </c>
      <c r="RC71" s="99">
        <v>29.090000000000298</v>
      </c>
      <c r="RD71" s="99">
        <v>29.140000000000299</v>
      </c>
      <c r="RE71" s="99">
        <v>29.1900000000003</v>
      </c>
      <c r="RF71" s="99">
        <v>29.2400000000003</v>
      </c>
      <c r="RG71" s="99">
        <v>29.290000000000301</v>
      </c>
      <c r="RH71" s="99">
        <v>29.340000000000298</v>
      </c>
      <c r="RI71" s="99">
        <v>29.390000000000299</v>
      </c>
      <c r="RJ71" s="99">
        <v>29.4400000000003</v>
      </c>
      <c r="RK71" s="99">
        <v>29.4900000000003</v>
      </c>
      <c r="RL71" s="99">
        <v>29.540000000000301</v>
      </c>
      <c r="RM71" s="99">
        <v>29.590000000000298</v>
      </c>
      <c r="RN71" s="99">
        <v>29.640000000000299</v>
      </c>
      <c r="RO71" s="99">
        <v>29.6900000000003</v>
      </c>
      <c r="RP71" s="99">
        <v>29.7400000000003</v>
      </c>
      <c r="RQ71" s="99">
        <v>29.790000000000301</v>
      </c>
      <c r="RR71" s="99">
        <v>29.840000000000298</v>
      </c>
      <c r="RS71" s="99">
        <v>29.890000000000299</v>
      </c>
      <c r="RT71" s="99">
        <v>29.9400000000003</v>
      </c>
      <c r="RU71" s="99">
        <v>29.9900000000003</v>
      </c>
      <c r="RV71" s="99">
        <v>30.040000000000301</v>
      </c>
      <c r="RW71" s="99">
        <v>30.090000000000298</v>
      </c>
      <c r="RX71" s="99">
        <v>30.140000000000299</v>
      </c>
      <c r="RY71" s="99">
        <v>30.1900000000003</v>
      </c>
      <c r="RZ71" s="99">
        <v>30.2400000000003</v>
      </c>
      <c r="SA71" s="99">
        <v>30.290000000000401</v>
      </c>
      <c r="SB71" s="99">
        <v>30.340000000000401</v>
      </c>
      <c r="SC71" s="99">
        <v>30.390000000000398</v>
      </c>
      <c r="SD71" s="99">
        <v>30.440000000000399</v>
      </c>
      <c r="SE71" s="99">
        <v>30.4900000000004</v>
      </c>
      <c r="SF71" s="99">
        <v>30.540000000000401</v>
      </c>
      <c r="SG71" s="99">
        <v>30.590000000000401</v>
      </c>
      <c r="SH71" s="99">
        <v>30.640000000000398</v>
      </c>
      <c r="SI71" s="99">
        <v>30.690000000000399</v>
      </c>
      <c r="SJ71" s="99">
        <v>30.7400000000004</v>
      </c>
      <c r="SK71" s="99">
        <v>30.790000000000401</v>
      </c>
      <c r="SL71" s="99">
        <v>30.840000000000401</v>
      </c>
      <c r="SM71" s="99">
        <v>30.890000000000398</v>
      </c>
      <c r="SN71" s="99">
        <v>30.940000000000399</v>
      </c>
      <c r="SO71" s="99">
        <v>30.9900000000004</v>
      </c>
      <c r="SP71" s="99">
        <v>31.040000000000401</v>
      </c>
      <c r="SQ71" s="99">
        <v>31.090000000000401</v>
      </c>
      <c r="SR71" s="99">
        <v>31.140000000000398</v>
      </c>
      <c r="SS71" s="99">
        <v>31.190000000000399</v>
      </c>
      <c r="ST71" s="99">
        <v>31.2400000000004</v>
      </c>
      <c r="SU71" s="99">
        <v>31.290000000000401</v>
      </c>
      <c r="SV71" s="99">
        <v>31.340000000000401</v>
      </c>
      <c r="SW71" s="99">
        <v>31.390000000000398</v>
      </c>
      <c r="SX71" s="99">
        <v>31.440000000000399</v>
      </c>
      <c r="SY71" s="99">
        <v>31.4900000000004</v>
      </c>
      <c r="SZ71" s="99">
        <v>31.540000000000401</v>
      </c>
      <c r="TA71" s="99">
        <v>31.590000000000401</v>
      </c>
      <c r="TB71" s="99">
        <v>31.640000000000398</v>
      </c>
      <c r="TC71" s="99">
        <v>31.690000000000399</v>
      </c>
      <c r="TD71" s="99">
        <v>31.7400000000004</v>
      </c>
      <c r="TE71" s="99">
        <v>31.790000000000401</v>
      </c>
      <c r="TF71" s="99">
        <v>31.840000000000401</v>
      </c>
      <c r="TG71" s="99">
        <v>31.890000000000398</v>
      </c>
      <c r="TH71" s="99">
        <v>31.940000000000399</v>
      </c>
      <c r="TI71" s="99">
        <v>31.9900000000004</v>
      </c>
      <c r="TJ71" s="99">
        <v>32.040000000000397</v>
      </c>
      <c r="TK71" s="99">
        <v>32.090000000000401</v>
      </c>
      <c r="TL71" s="99">
        <v>32.140000000000398</v>
      </c>
      <c r="TM71" s="99">
        <v>32.190000000000403</v>
      </c>
      <c r="TN71" s="99">
        <v>32.2400000000004</v>
      </c>
      <c r="TO71" s="99">
        <v>32.290000000000397</v>
      </c>
      <c r="TP71" s="99">
        <v>32.340000000000401</v>
      </c>
      <c r="TQ71" s="99">
        <v>32.390000000000398</v>
      </c>
      <c r="TR71" s="99">
        <v>32.440000000000403</v>
      </c>
      <c r="TS71" s="99">
        <v>32.4900000000004</v>
      </c>
      <c r="TT71" s="99">
        <v>32.540000000000397</v>
      </c>
      <c r="TU71" s="99">
        <v>32.590000000000401</v>
      </c>
      <c r="TV71" s="99">
        <v>32.640000000000398</v>
      </c>
      <c r="TW71" s="99">
        <v>32.690000000000403</v>
      </c>
      <c r="TX71" s="99">
        <v>32.7400000000004</v>
      </c>
      <c r="TY71" s="99">
        <v>32.790000000000397</v>
      </c>
      <c r="TZ71" s="99">
        <v>32.840000000000401</v>
      </c>
      <c r="UA71" s="99">
        <v>32.890000000000398</v>
      </c>
      <c r="UB71" s="99">
        <v>32.940000000000403</v>
      </c>
      <c r="UC71" s="99">
        <v>32.9900000000004</v>
      </c>
      <c r="UD71" s="99">
        <v>33.040000000000397</v>
      </c>
      <c r="UE71" s="99">
        <v>33.090000000000401</v>
      </c>
      <c r="UF71" s="99">
        <v>33.140000000000398</v>
      </c>
      <c r="UG71" s="99">
        <v>33.190000000000403</v>
      </c>
      <c r="UH71" s="99">
        <v>33.2400000000004</v>
      </c>
      <c r="UI71" s="99">
        <v>33.290000000000397</v>
      </c>
      <c r="UJ71" s="99">
        <v>33.340000000000401</v>
      </c>
      <c r="UK71" s="99">
        <v>33.390000000000398</v>
      </c>
      <c r="UL71" s="99">
        <v>33.440000000000403</v>
      </c>
      <c r="UM71" s="99">
        <v>33.4900000000004</v>
      </c>
      <c r="UN71" s="99">
        <v>33.540000000000397</v>
      </c>
      <c r="UO71" s="99">
        <v>33.590000000000401</v>
      </c>
      <c r="UP71" s="99">
        <v>33.640000000000398</v>
      </c>
      <c r="UQ71" s="99">
        <v>33.690000000000403</v>
      </c>
      <c r="UR71" s="99">
        <v>33.7400000000004</v>
      </c>
      <c r="US71" s="99">
        <v>33.790000000000397</v>
      </c>
      <c r="UT71" s="99">
        <v>33.840000000000401</v>
      </c>
    </row>
    <row r="72" spans="1:566" x14ac:dyDescent="0.2">
      <c r="A72" s="89">
        <v>33</v>
      </c>
      <c r="B72" s="90">
        <v>5.59</v>
      </c>
      <c r="C72" s="90">
        <v>5.64</v>
      </c>
      <c r="D72" s="90">
        <v>5.69</v>
      </c>
      <c r="E72" s="90">
        <v>5.74</v>
      </c>
      <c r="F72" s="90">
        <v>5.79</v>
      </c>
      <c r="G72" s="90">
        <v>5.84</v>
      </c>
      <c r="H72" s="90">
        <v>5.89</v>
      </c>
      <c r="I72" s="90">
        <v>5.94</v>
      </c>
      <c r="J72" s="90">
        <v>5.99</v>
      </c>
      <c r="K72" s="90">
        <v>6.04</v>
      </c>
      <c r="L72" s="90">
        <v>6.09</v>
      </c>
      <c r="M72" s="90">
        <v>6.14</v>
      </c>
      <c r="N72" s="90">
        <v>6.19</v>
      </c>
      <c r="O72" s="90">
        <v>6.24</v>
      </c>
      <c r="P72" s="90">
        <v>6.29</v>
      </c>
      <c r="Q72" s="90">
        <v>6.34</v>
      </c>
      <c r="R72" s="90">
        <v>6.39</v>
      </c>
      <c r="S72" s="90">
        <v>6.44</v>
      </c>
      <c r="T72" s="90">
        <v>6.49</v>
      </c>
      <c r="U72" s="91">
        <v>6.54</v>
      </c>
      <c r="V72" s="90">
        <v>6.59</v>
      </c>
      <c r="W72" s="90">
        <v>6.64</v>
      </c>
      <c r="X72" s="90">
        <v>6.69</v>
      </c>
      <c r="Y72" s="90">
        <v>6.74</v>
      </c>
      <c r="Z72" s="90">
        <v>6.79</v>
      </c>
      <c r="AA72" s="90">
        <v>6.84</v>
      </c>
      <c r="AB72" s="90">
        <v>6.89</v>
      </c>
      <c r="AC72" s="90">
        <v>6.93</v>
      </c>
      <c r="AD72" s="90">
        <v>6.98</v>
      </c>
      <c r="AE72" s="90">
        <v>7.03</v>
      </c>
      <c r="AF72" s="90">
        <v>7.08</v>
      </c>
      <c r="AG72" s="90">
        <v>7.13</v>
      </c>
      <c r="AH72" s="90">
        <v>7.18</v>
      </c>
      <c r="AI72" s="90">
        <v>7.23</v>
      </c>
      <c r="AJ72" s="90">
        <v>7.28</v>
      </c>
      <c r="AK72" s="90">
        <v>7.33</v>
      </c>
      <c r="AL72" s="90">
        <v>7.38</v>
      </c>
      <c r="AM72" s="90">
        <v>7.43</v>
      </c>
      <c r="AN72" s="90">
        <v>7.48</v>
      </c>
      <c r="AO72" s="91">
        <v>7.53</v>
      </c>
      <c r="AP72" s="90">
        <v>7.58</v>
      </c>
      <c r="AQ72" s="90">
        <v>7.6296707317073196</v>
      </c>
      <c r="AR72" s="90">
        <v>7.67934146341464</v>
      </c>
      <c r="AS72" s="90">
        <v>7.7290121951219497</v>
      </c>
      <c r="AT72" s="90">
        <v>7.7786829268292701</v>
      </c>
      <c r="AU72" s="90">
        <v>7.8283536585365896</v>
      </c>
      <c r="AV72" s="90">
        <v>7.87802439024391</v>
      </c>
      <c r="AW72" s="90">
        <v>7.9276951219512197</v>
      </c>
      <c r="AX72" s="90">
        <v>7.9773658536585401</v>
      </c>
      <c r="AY72" s="90">
        <v>8.0270365853658596</v>
      </c>
      <c r="AZ72" s="90">
        <v>8.0767073170731596</v>
      </c>
      <c r="BA72" s="90">
        <v>8.1263780487804897</v>
      </c>
      <c r="BB72" s="90">
        <v>8.1760487804878093</v>
      </c>
      <c r="BC72" s="90">
        <v>8.2257195121951199</v>
      </c>
      <c r="BD72" s="90">
        <v>8.2753902439024394</v>
      </c>
      <c r="BE72" s="90">
        <v>8.3250609756097607</v>
      </c>
      <c r="BF72" s="90">
        <v>8.3747317073170695</v>
      </c>
      <c r="BG72" s="90">
        <v>8.4244024390243908</v>
      </c>
      <c r="BH72" s="90">
        <v>8.4740731707317103</v>
      </c>
      <c r="BI72" s="91">
        <v>8.5237439024390298</v>
      </c>
      <c r="BJ72" s="90">
        <v>8.5734146341463404</v>
      </c>
      <c r="BK72" s="99">
        <v>8.6230853658536599</v>
      </c>
      <c r="BL72" s="99">
        <v>8.6727560975609794</v>
      </c>
      <c r="BM72" s="99">
        <v>8.7224268292683007</v>
      </c>
      <c r="BN72" s="99">
        <v>8.7720975609756096</v>
      </c>
      <c r="BO72" s="99">
        <v>8.8217682926829308</v>
      </c>
      <c r="BP72" s="99">
        <v>8.8714390243902503</v>
      </c>
      <c r="BQ72" s="99">
        <v>8.9211097560975592</v>
      </c>
      <c r="BR72" s="99">
        <v>8.9707804878048805</v>
      </c>
      <c r="BS72" s="99">
        <v>9.0204512195122</v>
      </c>
      <c r="BT72" s="99">
        <v>9.0701219512195195</v>
      </c>
      <c r="BU72" s="99">
        <v>9.1197926829268194</v>
      </c>
      <c r="BV72" s="99">
        <v>9.1694634146341496</v>
      </c>
      <c r="BW72" s="99">
        <v>9.2191341463414709</v>
      </c>
      <c r="BX72" s="99">
        <v>9.2688048780487797</v>
      </c>
      <c r="BY72" s="99">
        <v>9.3184756097560992</v>
      </c>
      <c r="BZ72" s="99">
        <v>9.3681463414634205</v>
      </c>
      <c r="CA72" s="99">
        <v>9.4178170731707294</v>
      </c>
      <c r="CB72" s="99">
        <v>9.4674878048780506</v>
      </c>
      <c r="CC72" s="99">
        <v>9.5171585365853701</v>
      </c>
      <c r="CD72" s="99">
        <v>9.5668292682926896</v>
      </c>
      <c r="CE72" s="99">
        <v>9.6164999999999896</v>
      </c>
      <c r="CF72" s="99">
        <v>9.6661707317073198</v>
      </c>
      <c r="CG72" s="99">
        <v>9.7158414634146393</v>
      </c>
      <c r="CH72" s="99">
        <v>9.7655121951219499</v>
      </c>
      <c r="CI72" s="99">
        <v>9.8151829268292694</v>
      </c>
      <c r="CJ72" s="99">
        <v>9.8648536585365907</v>
      </c>
      <c r="CK72" s="99">
        <v>9.9145243902438995</v>
      </c>
      <c r="CL72" s="99">
        <v>9.9641951219512208</v>
      </c>
      <c r="CM72" s="99">
        <v>10.013865853658499</v>
      </c>
      <c r="CN72" s="99">
        <v>10.063536585365901</v>
      </c>
      <c r="CO72" s="99">
        <v>10.113207317073201</v>
      </c>
      <c r="CP72" s="99">
        <v>10.162878048780501</v>
      </c>
      <c r="CQ72" s="99">
        <v>10.212548780487801</v>
      </c>
      <c r="CR72" s="99">
        <v>10.262219512195101</v>
      </c>
      <c r="CS72" s="99">
        <v>10.3118902439024</v>
      </c>
      <c r="CT72" s="99">
        <v>10.3615609756098</v>
      </c>
      <c r="CU72" s="99">
        <v>10.4112317073171</v>
      </c>
      <c r="CV72" s="99">
        <v>10.4609024390244</v>
      </c>
      <c r="CW72" s="99">
        <v>10.5105731707317</v>
      </c>
      <c r="CX72" s="99">
        <v>10.560243902439</v>
      </c>
      <c r="CY72" s="99">
        <v>10.6099146341463</v>
      </c>
      <c r="CZ72" s="99">
        <v>10.659585365853699</v>
      </c>
      <c r="DA72" s="99">
        <v>10.709256097560999</v>
      </c>
      <c r="DB72" s="99">
        <v>10.758926829268299</v>
      </c>
      <c r="DC72" s="99">
        <v>10.808597560975601</v>
      </c>
      <c r="DD72" s="99">
        <v>10.858268292682901</v>
      </c>
      <c r="DE72" s="99">
        <v>10.907939024390201</v>
      </c>
      <c r="DF72" s="99">
        <v>10.9576097560976</v>
      </c>
      <c r="DG72" s="99">
        <v>11.0072804878049</v>
      </c>
      <c r="DH72" s="99">
        <v>11.0569512195122</v>
      </c>
      <c r="DI72" s="99">
        <v>11.1066219512195</v>
      </c>
      <c r="DJ72" s="99">
        <v>11.1562926829268</v>
      </c>
      <c r="DK72" s="99">
        <v>11.2059634146341</v>
      </c>
      <c r="DL72" s="99">
        <v>11.2556341463415</v>
      </c>
      <c r="DM72" s="99">
        <v>11.305304878048799</v>
      </c>
      <c r="DN72" s="99">
        <v>11.354975609756099</v>
      </c>
      <c r="DO72" s="99">
        <v>11.404646341463399</v>
      </c>
      <c r="DP72" s="99">
        <v>11.454317073170699</v>
      </c>
      <c r="DQ72" s="99">
        <v>11.503987804877999</v>
      </c>
      <c r="DR72" s="99">
        <v>11.553658536585401</v>
      </c>
      <c r="DS72" s="99">
        <v>11.603329268292701</v>
      </c>
      <c r="DT72" s="99">
        <v>11.653</v>
      </c>
      <c r="DU72" s="99">
        <v>11.7026707317073</v>
      </c>
      <c r="DV72" s="99">
        <v>11.7523414634146</v>
      </c>
      <c r="DW72" s="99">
        <v>11.8020121951219</v>
      </c>
      <c r="DX72" s="99">
        <v>11.8516829268293</v>
      </c>
      <c r="DY72" s="99">
        <v>11.9013536585366</v>
      </c>
      <c r="DZ72" s="99">
        <v>11.9510243902439</v>
      </c>
      <c r="EA72" s="99">
        <v>12.0006951219512</v>
      </c>
      <c r="EB72" s="99">
        <v>12.0503658536585</v>
      </c>
      <c r="EC72" s="99">
        <v>12.100036585365901</v>
      </c>
      <c r="ED72" s="99">
        <v>12.149707317073201</v>
      </c>
      <c r="EE72" s="99">
        <v>12.199378048780501</v>
      </c>
      <c r="EF72" s="99">
        <v>12.249048780487801</v>
      </c>
      <c r="EG72" s="99">
        <v>12.298719512195101</v>
      </c>
      <c r="EH72" s="99">
        <v>12.348390243902401</v>
      </c>
      <c r="EI72" s="99">
        <v>12.3980609756098</v>
      </c>
      <c r="EJ72" s="99">
        <v>12.4477317073171</v>
      </c>
      <c r="EK72" s="99">
        <v>12.4974024390244</v>
      </c>
      <c r="EL72" s="99">
        <v>12.5470731707317</v>
      </c>
      <c r="EM72" s="99">
        <v>12.596743902439</v>
      </c>
      <c r="EN72" s="99">
        <v>12.6464146341463</v>
      </c>
      <c r="EO72" s="99">
        <v>12.696085365853699</v>
      </c>
      <c r="EP72" s="99">
        <v>12.745756097560999</v>
      </c>
      <c r="EQ72" s="99">
        <v>12.795426829268299</v>
      </c>
      <c r="ER72" s="99">
        <v>12.845097560975599</v>
      </c>
      <c r="ES72" s="99">
        <v>12.894768292682899</v>
      </c>
      <c r="ET72" s="99">
        <v>12.944439024390199</v>
      </c>
      <c r="EU72" s="99">
        <v>12.9941097560976</v>
      </c>
      <c r="EV72" s="99">
        <v>13.0437804878049</v>
      </c>
      <c r="EW72" s="99">
        <v>13.0934512195122</v>
      </c>
      <c r="EX72" s="99">
        <v>13.1431219512195</v>
      </c>
      <c r="EY72" s="99">
        <v>13.1927926829268</v>
      </c>
      <c r="EZ72" s="99">
        <v>13.2424634146341</v>
      </c>
      <c r="FA72" s="99">
        <v>13.2921341463415</v>
      </c>
      <c r="FB72" s="99">
        <v>13.3418048780488</v>
      </c>
      <c r="FC72" s="99">
        <v>13.3914756097561</v>
      </c>
      <c r="FD72" s="99">
        <v>13.4411463414634</v>
      </c>
      <c r="FE72" s="99">
        <v>13.4908170731707</v>
      </c>
      <c r="FF72" s="99">
        <v>13.540487804878</v>
      </c>
      <c r="FG72" s="99">
        <v>13.590158536585401</v>
      </c>
      <c r="FH72" s="99">
        <v>13.639829268292701</v>
      </c>
      <c r="FI72" s="99">
        <v>13.689500000000001</v>
      </c>
      <c r="FJ72" s="99">
        <v>13.739170731707301</v>
      </c>
      <c r="FK72" s="99">
        <v>13.788841463414601</v>
      </c>
      <c r="FL72" s="99">
        <v>13.838512195121901</v>
      </c>
      <c r="FM72" s="99">
        <v>13.8881829268293</v>
      </c>
      <c r="FN72" s="99">
        <v>13.9378536585366</v>
      </c>
      <c r="FO72" s="99">
        <v>13.9875243902439</v>
      </c>
      <c r="FP72" s="99">
        <v>14.0371951219512</v>
      </c>
      <c r="FQ72" s="99">
        <v>14.0868658536585</v>
      </c>
      <c r="FR72" s="99">
        <v>14.136536585365899</v>
      </c>
      <c r="FS72" s="99">
        <v>14.186207317073199</v>
      </c>
      <c r="FT72" s="99">
        <v>14.235878048780499</v>
      </c>
      <c r="FU72" s="99">
        <v>14.285548780487799</v>
      </c>
      <c r="FV72" s="99">
        <v>14.335219512195099</v>
      </c>
      <c r="FW72" s="99">
        <v>14.384890243902399</v>
      </c>
      <c r="FX72" s="99">
        <v>14.4345609756098</v>
      </c>
      <c r="FY72" s="99">
        <v>14.4842317073171</v>
      </c>
      <c r="FZ72" s="99">
        <v>14.5339024390244</v>
      </c>
      <c r="GA72" s="99">
        <v>14.5835731707317</v>
      </c>
      <c r="GB72" s="99">
        <v>14.633243902439</v>
      </c>
      <c r="GC72" s="99">
        <v>14.6829146341463</v>
      </c>
      <c r="GD72" s="99">
        <v>14.7325853658537</v>
      </c>
      <c r="GE72" s="99">
        <v>14.782256097561</v>
      </c>
      <c r="GF72" s="99">
        <v>14.8319268292683</v>
      </c>
      <c r="GG72" s="99">
        <v>14.881597560975599</v>
      </c>
      <c r="GH72" s="99">
        <v>14.931268292682899</v>
      </c>
      <c r="GI72" s="99">
        <v>14.980939024390199</v>
      </c>
      <c r="GJ72" s="99">
        <v>15.030609756097601</v>
      </c>
      <c r="GK72" s="99">
        <v>15.080280487804901</v>
      </c>
      <c r="GL72" s="99">
        <v>15.129951219512201</v>
      </c>
      <c r="GM72" s="99">
        <v>15.179621951219501</v>
      </c>
      <c r="GN72" s="99">
        <v>15.2292926829268</v>
      </c>
      <c r="GO72" s="99">
        <v>15.2789634146341</v>
      </c>
      <c r="GP72" s="99">
        <v>15.3286341463415</v>
      </c>
      <c r="GQ72" s="99">
        <v>15.3783048780488</v>
      </c>
      <c r="GR72" s="99">
        <v>15.4279756097561</v>
      </c>
      <c r="GS72" s="99">
        <v>15.4776463414634</v>
      </c>
      <c r="GT72" s="99">
        <v>15.5273170731707</v>
      </c>
      <c r="GU72" s="99">
        <v>15.576987804878</v>
      </c>
      <c r="GV72" s="99">
        <v>15.6266585365853</v>
      </c>
      <c r="GW72" s="99">
        <v>15.676329268292699</v>
      </c>
      <c r="GX72" s="99">
        <v>15.726000000000001</v>
      </c>
      <c r="GY72" s="99">
        <v>15.775670731707301</v>
      </c>
      <c r="GZ72" s="99">
        <v>15.825341463414601</v>
      </c>
      <c r="HA72" s="99">
        <v>15.875012195121901</v>
      </c>
      <c r="HB72" s="99">
        <v>15.9246829268293</v>
      </c>
      <c r="HC72" s="99">
        <v>15.9743536585366</v>
      </c>
      <c r="HD72" s="99">
        <v>16.024024390243898</v>
      </c>
      <c r="HE72" s="99">
        <v>16.0736951219512</v>
      </c>
      <c r="HF72" s="99">
        <v>16.123365853658498</v>
      </c>
      <c r="HG72" s="99">
        <v>16.1730365853658</v>
      </c>
      <c r="HH72" s="99">
        <v>16.222707317073201</v>
      </c>
      <c r="HI72" s="99">
        <v>16.272378048780499</v>
      </c>
      <c r="HJ72" s="99">
        <v>16.322048780487801</v>
      </c>
      <c r="HK72" s="99">
        <v>16.371719512195099</v>
      </c>
      <c r="HL72" s="99">
        <v>16.421390243902401</v>
      </c>
      <c r="HM72" s="99">
        <v>16.471060975609699</v>
      </c>
      <c r="HN72" s="99">
        <v>16.520731707317101</v>
      </c>
      <c r="HO72" s="99">
        <v>16.570402439024399</v>
      </c>
      <c r="HP72" s="99">
        <v>16.6200731707317</v>
      </c>
      <c r="HQ72" s="99">
        <v>16.669743902438999</v>
      </c>
      <c r="HR72" s="99">
        <v>16.7194146341463</v>
      </c>
      <c r="HS72" s="99">
        <v>16.769085365853599</v>
      </c>
      <c r="HT72" s="99">
        <v>16.818756097561</v>
      </c>
      <c r="HU72" s="99">
        <v>16.868426829268302</v>
      </c>
      <c r="HV72" s="99">
        <v>16.9180975609756</v>
      </c>
      <c r="HW72" s="99">
        <v>16.967768292682901</v>
      </c>
      <c r="HX72" s="99">
        <v>17.0174390243902</v>
      </c>
      <c r="HY72" s="99">
        <v>17.067109756097501</v>
      </c>
      <c r="HZ72" s="99">
        <v>17.116780487804899</v>
      </c>
      <c r="IA72" s="99">
        <v>17.166451219512201</v>
      </c>
      <c r="IB72" s="99">
        <v>17.216121951219499</v>
      </c>
      <c r="IC72" s="99">
        <v>17.265792682926801</v>
      </c>
      <c r="ID72" s="99">
        <v>17.315463414634099</v>
      </c>
      <c r="IE72" s="99">
        <v>17.365134146341401</v>
      </c>
      <c r="IF72" s="99">
        <v>17.414804878048798</v>
      </c>
      <c r="IG72" s="99">
        <v>17.4644756097561</v>
      </c>
      <c r="IH72" s="99">
        <v>17.514146341463402</v>
      </c>
      <c r="II72" s="99">
        <v>17.5638170731707</v>
      </c>
      <c r="IJ72" s="99">
        <v>17.613487804878002</v>
      </c>
      <c r="IK72" s="99">
        <v>17.6631585365853</v>
      </c>
      <c r="IL72" s="99">
        <v>17.712829268292701</v>
      </c>
      <c r="IM72" s="99">
        <v>17.762499999999999</v>
      </c>
      <c r="IN72" s="99">
        <v>17.812170731707301</v>
      </c>
      <c r="IO72" s="99">
        <v>17.861841463414599</v>
      </c>
      <c r="IP72" s="99">
        <v>17.911512195121901</v>
      </c>
      <c r="IQ72" s="99">
        <v>17.961182926829299</v>
      </c>
      <c r="IR72" s="99">
        <v>18.0108536585366</v>
      </c>
      <c r="IS72" s="99">
        <v>18.060524390243899</v>
      </c>
      <c r="IT72" s="99">
        <v>18.1101951219512</v>
      </c>
      <c r="IU72" s="99">
        <v>18.159865853658498</v>
      </c>
      <c r="IV72" s="99">
        <v>18.2095365853658</v>
      </c>
      <c r="IW72" s="99">
        <v>18.259207317073201</v>
      </c>
      <c r="IX72" s="99">
        <v>18.3088780487805</v>
      </c>
      <c r="IY72" s="99">
        <v>18.358548780487801</v>
      </c>
      <c r="IZ72" s="99">
        <v>18.4082195121951</v>
      </c>
      <c r="JA72" s="99">
        <v>18.457890243902401</v>
      </c>
      <c r="JB72" s="99">
        <v>18.507560975609699</v>
      </c>
      <c r="JC72" s="99">
        <v>18.557231707317101</v>
      </c>
      <c r="JD72" s="99">
        <v>18.606902439024399</v>
      </c>
      <c r="JE72" s="99">
        <v>18.656573170731701</v>
      </c>
      <c r="JF72" s="99">
        <v>18.706243902438999</v>
      </c>
      <c r="JG72" s="99">
        <v>18.755914634146301</v>
      </c>
      <c r="JH72" s="99">
        <v>18.805585365853599</v>
      </c>
      <c r="JI72" s="99">
        <v>18.855256097561</v>
      </c>
      <c r="JJ72" s="99">
        <v>18.904926829268302</v>
      </c>
      <c r="JK72" s="99">
        <v>18.9545975609756</v>
      </c>
      <c r="JL72" s="99">
        <v>19.004268292682902</v>
      </c>
      <c r="JM72" s="99">
        <v>19.0539390243902</v>
      </c>
      <c r="JN72" s="99">
        <v>19.103609756097502</v>
      </c>
      <c r="JO72" s="99">
        <v>19.153280487804899</v>
      </c>
      <c r="JP72" s="99">
        <v>19.202951219512201</v>
      </c>
      <c r="JQ72" s="99">
        <v>19.252621951219499</v>
      </c>
      <c r="JR72" s="99">
        <v>19.302292682926801</v>
      </c>
      <c r="JS72" s="99">
        <v>19.351963414634099</v>
      </c>
      <c r="JT72" s="99">
        <v>19.401634146341401</v>
      </c>
      <c r="JU72" s="99">
        <v>19.451304878048798</v>
      </c>
      <c r="JV72" s="99">
        <v>19.5009756097561</v>
      </c>
      <c r="JW72" s="99">
        <v>19.550646341463398</v>
      </c>
      <c r="JX72" s="99">
        <v>19.6003170731707</v>
      </c>
      <c r="JY72" s="99">
        <v>19.649987804877998</v>
      </c>
      <c r="JZ72" s="99">
        <v>19.6996585365853</v>
      </c>
      <c r="KA72" s="99">
        <v>19.749329268292701</v>
      </c>
      <c r="KB72" s="99">
        <v>19.798999999999999</v>
      </c>
      <c r="KC72" s="99">
        <v>19.848670731707301</v>
      </c>
      <c r="KD72" s="99">
        <v>19.898341463414599</v>
      </c>
      <c r="KE72" s="99">
        <v>19.948012195121901</v>
      </c>
      <c r="KF72" s="99">
        <v>19.997682926829299</v>
      </c>
      <c r="KG72" s="99">
        <v>20.047353658536601</v>
      </c>
      <c r="KH72" s="99">
        <v>20.097024390243899</v>
      </c>
      <c r="KI72" s="99">
        <v>20.1466951219512</v>
      </c>
      <c r="KJ72" s="99">
        <v>20.196365853658499</v>
      </c>
      <c r="KK72" s="99">
        <v>20.2460365853658</v>
      </c>
      <c r="KL72" s="99">
        <v>20.295707317073202</v>
      </c>
      <c r="KM72" s="99">
        <v>20.3453780487805</v>
      </c>
      <c r="KN72" s="99">
        <v>20.395048780487802</v>
      </c>
      <c r="KO72" s="99">
        <v>20.4447195121951</v>
      </c>
      <c r="KP72" s="99">
        <v>20.494390243902401</v>
      </c>
      <c r="KQ72" s="99">
        <v>20.5440609756097</v>
      </c>
      <c r="KR72" s="99">
        <v>20.593731707317101</v>
      </c>
      <c r="KS72" s="99">
        <v>20.643402439024399</v>
      </c>
      <c r="KT72" s="99">
        <v>20.693073170731701</v>
      </c>
      <c r="KU72" s="99">
        <v>20.742743902438999</v>
      </c>
      <c r="KV72" s="99">
        <v>20.792414634146301</v>
      </c>
      <c r="KW72" s="99">
        <v>20.842085365853599</v>
      </c>
      <c r="KX72" s="99">
        <v>20.891756097561</v>
      </c>
      <c r="KY72" s="99">
        <v>20.941426829268298</v>
      </c>
      <c r="KZ72" s="99">
        <v>20.9910975609756</v>
      </c>
      <c r="LA72" s="99">
        <v>21.040768292682898</v>
      </c>
      <c r="LB72" s="99">
        <v>21.0904390243902</v>
      </c>
      <c r="LC72" s="99">
        <v>21.140109756097502</v>
      </c>
      <c r="LD72" s="99">
        <v>21.189780487804899</v>
      </c>
      <c r="LE72" s="99">
        <v>21.239451219512201</v>
      </c>
      <c r="LF72" s="99">
        <v>21.289121951219499</v>
      </c>
      <c r="LG72" s="99">
        <v>21.338792682926801</v>
      </c>
      <c r="LH72" s="99">
        <v>21.388463414634099</v>
      </c>
      <c r="LI72" s="99">
        <v>21.438134146341401</v>
      </c>
      <c r="LJ72" s="99">
        <v>21.487804878048799</v>
      </c>
      <c r="LK72" s="99">
        <v>21.5374756097561</v>
      </c>
      <c r="LL72" s="99">
        <v>21.587146341463399</v>
      </c>
      <c r="LM72" s="99">
        <v>21.6368170731707</v>
      </c>
      <c r="LN72" s="99">
        <v>21.686487804877999</v>
      </c>
      <c r="LO72" s="99">
        <v>21.7361585365854</v>
      </c>
      <c r="LP72" s="99">
        <v>21.785829268292701</v>
      </c>
      <c r="LQ72" s="99">
        <v>21.8355</v>
      </c>
      <c r="LR72" s="99">
        <v>21.885170731707301</v>
      </c>
      <c r="LS72" s="99">
        <v>21.9348414634146</v>
      </c>
      <c r="LT72" s="99">
        <v>21.984512195121901</v>
      </c>
      <c r="LU72" s="99">
        <v>22.034182926829299</v>
      </c>
      <c r="LV72" s="99">
        <v>22.083853658536601</v>
      </c>
      <c r="LW72" s="99">
        <v>22.133524390243899</v>
      </c>
      <c r="LX72" s="99">
        <v>22.183195121951201</v>
      </c>
      <c r="LY72" s="99">
        <v>22.232865853658499</v>
      </c>
      <c r="LZ72" s="99">
        <v>22.282536585365801</v>
      </c>
      <c r="MA72" s="99">
        <v>22.332207317073198</v>
      </c>
      <c r="MB72" s="99">
        <v>22.3818780487805</v>
      </c>
      <c r="MC72" s="99">
        <v>22.431548780487802</v>
      </c>
      <c r="MD72" s="99">
        <v>22.4812195121951</v>
      </c>
      <c r="ME72" s="99">
        <v>22.530890243902402</v>
      </c>
      <c r="MF72" s="99">
        <v>22.5805609756097</v>
      </c>
      <c r="MG72" s="99">
        <v>22.630231707317101</v>
      </c>
      <c r="MH72" s="99">
        <v>22.679902439024399</v>
      </c>
      <c r="MI72" s="99">
        <v>22.729573170731701</v>
      </c>
      <c r="MJ72" s="99">
        <v>22.779243902438999</v>
      </c>
      <c r="MK72" s="99">
        <v>22.828914634146301</v>
      </c>
      <c r="ML72" s="99">
        <v>22.878585365853599</v>
      </c>
      <c r="MM72" s="99">
        <v>22.928256097561</v>
      </c>
      <c r="MN72" s="99">
        <v>22.977926829268299</v>
      </c>
      <c r="MO72" s="99">
        <v>23.0275975609756</v>
      </c>
      <c r="MP72" s="99">
        <v>23.077268292682898</v>
      </c>
      <c r="MQ72" s="99">
        <v>23.1269390243902</v>
      </c>
      <c r="MR72" s="99">
        <v>23.176609756097498</v>
      </c>
      <c r="MS72" s="99">
        <v>23.2262804878049</v>
      </c>
      <c r="MT72" s="99">
        <v>23.275951219512201</v>
      </c>
      <c r="MU72" s="99">
        <v>23.3256219512195</v>
      </c>
      <c r="MV72" s="99">
        <v>23.375292682926801</v>
      </c>
      <c r="MW72" s="99">
        <v>23.424963414634099</v>
      </c>
      <c r="MX72" s="99">
        <v>23.474634146341401</v>
      </c>
      <c r="MY72" s="99">
        <v>23.524304878048799</v>
      </c>
      <c r="MZ72" s="99">
        <v>23.573975609756101</v>
      </c>
      <c r="NA72" s="99">
        <v>23.623646341463399</v>
      </c>
      <c r="NB72" s="99">
        <v>23.673317073170701</v>
      </c>
      <c r="NC72" s="99">
        <v>23.722987804877999</v>
      </c>
      <c r="ND72" s="99">
        <v>23.7726585365854</v>
      </c>
      <c r="NE72" s="99">
        <v>23.822329268292702</v>
      </c>
      <c r="NF72" s="99">
        <v>23.872</v>
      </c>
      <c r="NG72" s="99">
        <v>23.921670731707302</v>
      </c>
      <c r="NH72" s="99">
        <v>23.9713414634146</v>
      </c>
      <c r="NI72" s="99">
        <v>24.021012195121902</v>
      </c>
      <c r="NJ72" s="99">
        <v>24.070682926829299</v>
      </c>
      <c r="NK72" s="99">
        <v>24.120353658536601</v>
      </c>
      <c r="NL72" s="99">
        <v>24.170024390243899</v>
      </c>
      <c r="NM72" s="99">
        <v>24.219695121951201</v>
      </c>
      <c r="NN72" s="99">
        <v>24.269365853658499</v>
      </c>
      <c r="NO72" s="99">
        <v>24.319036585365801</v>
      </c>
      <c r="NP72" s="99">
        <v>24.368707317073198</v>
      </c>
      <c r="NQ72" s="99">
        <v>24.4183780487805</v>
      </c>
      <c r="NR72" s="99">
        <v>24.468048780487798</v>
      </c>
      <c r="NS72" s="99">
        <v>24.5177195121951</v>
      </c>
      <c r="NT72" s="99">
        <v>24.567390243902398</v>
      </c>
      <c r="NU72" s="99">
        <v>24.6170609756097</v>
      </c>
      <c r="NV72" s="99">
        <v>24.666731707317101</v>
      </c>
      <c r="NW72" s="99">
        <v>24.716402439024399</v>
      </c>
      <c r="NX72" s="99">
        <v>24.766073170731701</v>
      </c>
      <c r="NY72" s="99">
        <v>24.815743902438999</v>
      </c>
      <c r="NZ72" s="99">
        <v>24.865414634146301</v>
      </c>
      <c r="OA72" s="99">
        <v>24.915085365853599</v>
      </c>
      <c r="OB72" s="99">
        <v>24.964756097561001</v>
      </c>
      <c r="OC72" s="99">
        <v>25.014426829268299</v>
      </c>
      <c r="OD72" s="99">
        <v>25.0640975609756</v>
      </c>
      <c r="OE72" s="99">
        <v>25.113768292682899</v>
      </c>
      <c r="OF72" s="99">
        <v>25.1634390243902</v>
      </c>
      <c r="OG72" s="99">
        <v>25.213109756097499</v>
      </c>
      <c r="OH72" s="99">
        <v>25.2627804878049</v>
      </c>
      <c r="OI72" s="99">
        <v>25.312451219512202</v>
      </c>
      <c r="OJ72" s="99">
        <v>25.3621219512195</v>
      </c>
      <c r="OK72" s="99">
        <v>25.411792682926801</v>
      </c>
      <c r="OL72" s="99">
        <v>25.4614634146341</v>
      </c>
      <c r="OM72" s="99">
        <v>25.511134146341401</v>
      </c>
      <c r="ON72" s="99">
        <v>25.560804878048799</v>
      </c>
      <c r="OO72" s="99">
        <v>25.610475609756101</v>
      </c>
      <c r="OP72" s="99">
        <v>25.660146341463399</v>
      </c>
      <c r="OQ72" s="99">
        <v>25.709817073170701</v>
      </c>
      <c r="OR72" s="99">
        <v>25.759487804877999</v>
      </c>
      <c r="OS72" s="99">
        <v>25.8091585365854</v>
      </c>
      <c r="OT72" s="99">
        <v>25.858829268292698</v>
      </c>
      <c r="OU72" s="99">
        <v>25.9085</v>
      </c>
      <c r="OV72" s="99">
        <v>25.958170731707298</v>
      </c>
      <c r="OW72" s="99">
        <v>26.0078414634146</v>
      </c>
      <c r="OX72" s="99">
        <v>26.057512195121902</v>
      </c>
      <c r="OY72" s="99">
        <v>26.107182926829299</v>
      </c>
      <c r="OZ72" s="99">
        <v>26.156853658536601</v>
      </c>
      <c r="PA72" s="99">
        <v>26.206524390243899</v>
      </c>
      <c r="PB72" s="99">
        <v>26.256195121951201</v>
      </c>
      <c r="PC72" s="99">
        <v>26.305865853658499</v>
      </c>
      <c r="PD72" s="99">
        <v>26.355536585365801</v>
      </c>
      <c r="PE72" s="99">
        <v>26.405207317073199</v>
      </c>
      <c r="PF72" s="99">
        <v>26.4548780487805</v>
      </c>
      <c r="PG72" s="99">
        <v>26.504548780487799</v>
      </c>
      <c r="PH72" s="99">
        <v>26.5542195121951</v>
      </c>
      <c r="PI72" s="99">
        <v>26.603890243902399</v>
      </c>
      <c r="PJ72" s="99">
        <v>26.6535609756097</v>
      </c>
      <c r="PK72" s="99">
        <v>26.703231707317101</v>
      </c>
      <c r="PL72" s="99">
        <v>26.7529024390244</v>
      </c>
      <c r="PM72" s="99">
        <v>26.802573170731701</v>
      </c>
      <c r="PN72" s="99">
        <v>26.852243902439</v>
      </c>
      <c r="PO72" s="99">
        <v>26.901914634146301</v>
      </c>
      <c r="PP72" s="99">
        <v>26.9515853658536</v>
      </c>
      <c r="PQ72" s="99">
        <v>27.001256097561001</v>
      </c>
      <c r="PR72" s="99">
        <v>27.050926829268299</v>
      </c>
      <c r="PS72" s="99">
        <v>27.100597560975601</v>
      </c>
      <c r="PT72" s="99">
        <v>27.150268292682899</v>
      </c>
      <c r="PU72" s="99">
        <v>27.199939024390201</v>
      </c>
      <c r="PV72" s="99">
        <v>27.249609756097499</v>
      </c>
      <c r="PW72" s="99">
        <v>27.2992804878049</v>
      </c>
      <c r="PX72" s="99">
        <v>27.348951219512202</v>
      </c>
      <c r="PY72" s="99">
        <v>27.3986219512195</v>
      </c>
      <c r="PZ72" s="99">
        <v>27.448292682926802</v>
      </c>
      <c r="QA72" s="99">
        <v>27.4979634146341</v>
      </c>
      <c r="QB72" s="99">
        <v>27.547634146341402</v>
      </c>
      <c r="QC72" s="99">
        <v>27.597304878048799</v>
      </c>
      <c r="QD72" s="99">
        <v>27.646975609756101</v>
      </c>
      <c r="QE72" s="99">
        <v>27.696646341463399</v>
      </c>
      <c r="QF72" s="99">
        <v>27.746317073170701</v>
      </c>
      <c r="QG72" s="99">
        <v>27.795987804877999</v>
      </c>
      <c r="QH72" s="99">
        <v>27.8456585365854</v>
      </c>
      <c r="QI72" s="99">
        <v>27.895329268292699</v>
      </c>
      <c r="QJ72" s="99">
        <v>27.945</v>
      </c>
      <c r="QK72" s="99">
        <v>27.994670731707298</v>
      </c>
      <c r="QL72" s="99">
        <v>28.0443414634146</v>
      </c>
      <c r="QM72" s="99">
        <v>28.094012195121898</v>
      </c>
      <c r="QN72" s="99">
        <v>28.1436829268293</v>
      </c>
      <c r="QO72" s="99">
        <v>28.193353658536601</v>
      </c>
      <c r="QP72" s="99">
        <v>28.2430243902439</v>
      </c>
      <c r="QQ72" s="99">
        <v>28.292695121951201</v>
      </c>
      <c r="QR72" s="99">
        <v>28.342365853658499</v>
      </c>
      <c r="QS72" s="99">
        <v>28.392036585365801</v>
      </c>
      <c r="QT72" s="99">
        <v>28.441707317073199</v>
      </c>
      <c r="QU72" s="99">
        <v>28.491378048780501</v>
      </c>
      <c r="QV72" s="99">
        <v>28.541048780487799</v>
      </c>
      <c r="QW72" s="99">
        <v>28.590719512195101</v>
      </c>
      <c r="QX72" s="99">
        <v>28.640390243902399</v>
      </c>
      <c r="QY72" s="99">
        <v>28.6900609756097</v>
      </c>
      <c r="QZ72" s="99">
        <v>28.739731707317102</v>
      </c>
      <c r="RA72" s="99">
        <v>28.7894024390244</v>
      </c>
      <c r="RB72" s="99">
        <v>28.839073170731702</v>
      </c>
      <c r="RC72" s="99">
        <v>28.888743902439</v>
      </c>
      <c r="RD72" s="99">
        <v>28.938414634146302</v>
      </c>
      <c r="RE72" s="99">
        <v>28.9880853658536</v>
      </c>
      <c r="RF72" s="99">
        <v>29.037756097561001</v>
      </c>
      <c r="RG72" s="99">
        <v>29.087426829268299</v>
      </c>
      <c r="RH72" s="99">
        <v>29.137097560975601</v>
      </c>
      <c r="RI72" s="99">
        <v>29.186768292682899</v>
      </c>
      <c r="RJ72" s="99">
        <v>29.236439024390201</v>
      </c>
      <c r="RK72" s="99">
        <v>29.286109756097499</v>
      </c>
      <c r="RL72" s="99">
        <v>29.3357804878049</v>
      </c>
      <c r="RM72" s="99">
        <v>29.385451219512198</v>
      </c>
      <c r="RN72" s="99">
        <v>29.4351219512195</v>
      </c>
      <c r="RO72" s="99">
        <v>29.484792682926798</v>
      </c>
      <c r="RP72" s="99">
        <v>29.5344634146341</v>
      </c>
      <c r="RQ72" s="99">
        <v>29.584134146341398</v>
      </c>
      <c r="RR72" s="99">
        <v>29.633804878048799</v>
      </c>
      <c r="RS72" s="99">
        <v>29.683475609756101</v>
      </c>
      <c r="RT72" s="99">
        <v>29.733146341463399</v>
      </c>
      <c r="RU72" s="99">
        <v>29.782817073170701</v>
      </c>
      <c r="RV72" s="99">
        <v>29.832487804877999</v>
      </c>
      <c r="RW72" s="99">
        <v>29.882158536585401</v>
      </c>
      <c r="RX72" s="99">
        <v>29.931829268292699</v>
      </c>
      <c r="RY72" s="99">
        <v>29.9815</v>
      </c>
      <c r="RZ72" s="99">
        <v>30.031170731707299</v>
      </c>
      <c r="SA72" s="99">
        <v>30.0808414634146</v>
      </c>
      <c r="SB72" s="99">
        <v>30.130512195121899</v>
      </c>
      <c r="SC72" s="99">
        <v>30.1801829268293</v>
      </c>
      <c r="SD72" s="99">
        <v>30.229853658536602</v>
      </c>
      <c r="SE72" s="99">
        <v>30.2795243902439</v>
      </c>
      <c r="SF72" s="99">
        <v>30.329195121951201</v>
      </c>
      <c r="SG72" s="99">
        <v>30.3788658536585</v>
      </c>
      <c r="SH72" s="99">
        <v>30.428536585365801</v>
      </c>
      <c r="SI72" s="99">
        <v>30.478207317073199</v>
      </c>
      <c r="SJ72" s="99">
        <v>30.527878048780501</v>
      </c>
      <c r="SK72" s="99">
        <v>30.577548780487799</v>
      </c>
      <c r="SL72" s="99">
        <v>30.627219512195101</v>
      </c>
      <c r="SM72" s="99">
        <v>30.676890243902399</v>
      </c>
      <c r="SN72" s="99">
        <v>30.726560975609701</v>
      </c>
      <c r="SO72" s="99">
        <v>30.776231707317098</v>
      </c>
      <c r="SP72" s="99">
        <v>30.8259024390244</v>
      </c>
      <c r="SQ72" s="99">
        <v>30.875573170731698</v>
      </c>
      <c r="SR72" s="99">
        <v>30.925243902439</v>
      </c>
      <c r="SS72" s="99">
        <v>30.974914634146302</v>
      </c>
      <c r="ST72" s="99">
        <v>31.0245853658536</v>
      </c>
      <c r="SU72" s="99">
        <v>31.074256097561001</v>
      </c>
      <c r="SV72" s="99">
        <v>31.123926829268299</v>
      </c>
      <c r="SW72" s="99">
        <v>31.173597560975601</v>
      </c>
      <c r="SX72" s="99">
        <v>31.223268292682899</v>
      </c>
      <c r="SY72" s="99">
        <v>31.272939024390201</v>
      </c>
      <c r="SZ72" s="99">
        <v>31.322609756097499</v>
      </c>
      <c r="TA72" s="99">
        <v>31.3722804878049</v>
      </c>
      <c r="TB72" s="99">
        <v>31.421951219512199</v>
      </c>
      <c r="TC72" s="99">
        <v>31.4716219512195</v>
      </c>
      <c r="TD72" s="99">
        <v>31.521292682926799</v>
      </c>
      <c r="TE72" s="99">
        <v>31.5709634146341</v>
      </c>
      <c r="TF72" s="99">
        <v>31.620634146341398</v>
      </c>
      <c r="TG72" s="99">
        <v>31.6703048780488</v>
      </c>
      <c r="TH72" s="99">
        <v>31.719975609756101</v>
      </c>
      <c r="TI72" s="99">
        <v>31.7696463414634</v>
      </c>
      <c r="TJ72" s="99">
        <v>31.819317073170701</v>
      </c>
      <c r="TK72" s="99">
        <v>31.868987804878</v>
      </c>
      <c r="TL72" s="99">
        <v>31.918658536585401</v>
      </c>
      <c r="TM72" s="99">
        <v>31.968329268292699</v>
      </c>
      <c r="TN72" s="99">
        <v>32.018000000000001</v>
      </c>
      <c r="TO72" s="99">
        <v>32.067670731707302</v>
      </c>
      <c r="TP72" s="99">
        <v>32.117341463414597</v>
      </c>
      <c r="TQ72" s="99">
        <v>32.167012195121899</v>
      </c>
      <c r="TR72" s="99">
        <v>32.2166829268293</v>
      </c>
      <c r="TS72" s="99">
        <v>32.266353658536602</v>
      </c>
      <c r="TT72" s="99">
        <v>32.316024390243903</v>
      </c>
      <c r="TU72" s="99">
        <v>32.365695121951198</v>
      </c>
      <c r="TV72" s="99">
        <v>32.4153658536585</v>
      </c>
      <c r="TW72" s="99">
        <v>32.465036585365802</v>
      </c>
      <c r="TX72" s="99">
        <v>32.514707317073203</v>
      </c>
      <c r="TY72" s="99">
        <v>32.564378048780497</v>
      </c>
      <c r="TZ72" s="99">
        <v>32.614048780487799</v>
      </c>
      <c r="UA72" s="99">
        <v>32.663719512195101</v>
      </c>
      <c r="UB72" s="99">
        <v>32.713390243902403</v>
      </c>
      <c r="UC72" s="99">
        <v>32.763060975609697</v>
      </c>
      <c r="UD72" s="99">
        <v>32.812731707317099</v>
      </c>
      <c r="UE72" s="99">
        <v>32.8624024390244</v>
      </c>
      <c r="UF72" s="99">
        <v>32.912073170731702</v>
      </c>
      <c r="UG72" s="99">
        <v>32.961743902438997</v>
      </c>
      <c r="UH72" s="99">
        <v>33.011414634146298</v>
      </c>
      <c r="UI72" s="99">
        <v>33.0610853658536</v>
      </c>
      <c r="UJ72" s="99">
        <v>33.110756097561001</v>
      </c>
      <c r="UK72" s="99">
        <v>33.160426829268303</v>
      </c>
      <c r="UL72" s="99">
        <v>33.210097560975598</v>
      </c>
      <c r="UM72" s="99">
        <v>33.259768292682899</v>
      </c>
      <c r="UN72" s="99">
        <v>33.309439024390201</v>
      </c>
      <c r="UO72" s="99">
        <v>33.359109756097503</v>
      </c>
      <c r="UP72" s="99">
        <v>33.408780487804897</v>
      </c>
      <c r="UQ72" s="99">
        <v>33.458451219512199</v>
      </c>
      <c r="UR72" s="99">
        <v>33.508121951219501</v>
      </c>
      <c r="US72" s="99">
        <v>33.557792682926802</v>
      </c>
      <c r="UT72" s="99">
        <v>33.607463414634097</v>
      </c>
    </row>
    <row r="73" spans="1:566" x14ac:dyDescent="0.2">
      <c r="A73" s="89">
        <v>33.5</v>
      </c>
      <c r="B73" s="90">
        <v>5.54</v>
      </c>
      <c r="C73" s="90">
        <v>5.59</v>
      </c>
      <c r="D73" s="90">
        <v>5.64</v>
      </c>
      <c r="E73" s="90">
        <v>5.69</v>
      </c>
      <c r="F73" s="90">
        <v>5.74</v>
      </c>
      <c r="G73" s="90">
        <v>5.79</v>
      </c>
      <c r="H73" s="90">
        <v>5.84</v>
      </c>
      <c r="I73" s="90">
        <v>5.89</v>
      </c>
      <c r="J73" s="90">
        <v>5.94</v>
      </c>
      <c r="K73" s="90">
        <v>5.99</v>
      </c>
      <c r="L73" s="90">
        <v>6.04</v>
      </c>
      <c r="M73" s="90">
        <v>6.09</v>
      </c>
      <c r="N73" s="90">
        <v>6.14</v>
      </c>
      <c r="O73" s="90">
        <v>6.19</v>
      </c>
      <c r="P73" s="90">
        <v>6.24</v>
      </c>
      <c r="Q73" s="90">
        <v>6.28</v>
      </c>
      <c r="R73" s="90">
        <v>6.33</v>
      </c>
      <c r="S73" s="90">
        <v>6.38</v>
      </c>
      <c r="T73" s="90">
        <v>6.43</v>
      </c>
      <c r="U73" s="91">
        <v>6.48</v>
      </c>
      <c r="V73" s="90">
        <v>6.53</v>
      </c>
      <c r="W73" s="90">
        <v>6.58</v>
      </c>
      <c r="X73" s="90">
        <v>6.63</v>
      </c>
      <c r="Y73" s="90">
        <v>6.68</v>
      </c>
      <c r="Z73" s="90">
        <v>6.73</v>
      </c>
      <c r="AA73" s="90">
        <v>6.78</v>
      </c>
      <c r="AB73" s="90">
        <v>6.83</v>
      </c>
      <c r="AC73" s="90">
        <v>6.88</v>
      </c>
      <c r="AD73" s="90">
        <v>6.93</v>
      </c>
      <c r="AE73" s="90">
        <v>6.98</v>
      </c>
      <c r="AF73" s="90">
        <v>7.02</v>
      </c>
      <c r="AG73" s="90">
        <v>7.07</v>
      </c>
      <c r="AH73" s="90">
        <v>7.12</v>
      </c>
      <c r="AI73" s="90">
        <v>7.17</v>
      </c>
      <c r="AJ73" s="90">
        <v>7.22</v>
      </c>
      <c r="AK73" s="90">
        <v>7.27</v>
      </c>
      <c r="AL73" s="90">
        <v>7.32</v>
      </c>
      <c r="AM73" s="90">
        <v>7.37</v>
      </c>
      <c r="AN73" s="90">
        <v>7.42</v>
      </c>
      <c r="AO73" s="91">
        <v>7.47</v>
      </c>
      <c r="AP73" s="90">
        <v>7.5182692307692296</v>
      </c>
      <c r="AQ73" s="90">
        <v>7.56763602251407</v>
      </c>
      <c r="AR73" s="90">
        <v>7.6170028142589103</v>
      </c>
      <c r="AS73" s="90">
        <v>7.6663696060037498</v>
      </c>
      <c r="AT73" s="90">
        <v>7.7157363977485902</v>
      </c>
      <c r="AU73" s="90">
        <v>7.7651031894934297</v>
      </c>
      <c r="AV73" s="90">
        <v>7.8144699812382701</v>
      </c>
      <c r="AW73" s="90">
        <v>7.8638367729831096</v>
      </c>
      <c r="AX73" s="90">
        <v>7.9132035647279499</v>
      </c>
      <c r="AY73" s="90">
        <v>7.9625703564728001</v>
      </c>
      <c r="AZ73" s="90">
        <v>8.0119371482176405</v>
      </c>
      <c r="BA73" s="90">
        <v>8.06130393996248</v>
      </c>
      <c r="BB73" s="90">
        <v>8.1106707317073194</v>
      </c>
      <c r="BC73" s="90">
        <v>8.1600375234521607</v>
      </c>
      <c r="BD73" s="90">
        <v>8.2094043151970002</v>
      </c>
      <c r="BE73" s="90">
        <v>8.2587711069418397</v>
      </c>
      <c r="BF73" s="90">
        <v>8.3081378986866792</v>
      </c>
      <c r="BG73" s="90">
        <v>8.3575046904315204</v>
      </c>
      <c r="BH73" s="90">
        <v>8.4068714821763599</v>
      </c>
      <c r="BI73" s="91">
        <v>8.4562382739211994</v>
      </c>
      <c r="BJ73" s="90">
        <v>8.5056050656660407</v>
      </c>
      <c r="BK73" s="99">
        <v>8.5549718574108802</v>
      </c>
      <c r="BL73" s="99">
        <v>8.6043386491557197</v>
      </c>
      <c r="BM73" s="99">
        <v>8.6537054409005592</v>
      </c>
      <c r="BN73" s="99">
        <v>8.7030722326454004</v>
      </c>
      <c r="BO73" s="99">
        <v>8.7524390243902399</v>
      </c>
      <c r="BP73" s="99">
        <v>8.8018058161350794</v>
      </c>
      <c r="BQ73" s="99">
        <v>8.8511726078799207</v>
      </c>
      <c r="BR73" s="99">
        <v>8.9005393996247602</v>
      </c>
      <c r="BS73" s="99">
        <v>8.9499061913695996</v>
      </c>
      <c r="BT73" s="99">
        <v>8.9992729831144498</v>
      </c>
      <c r="BU73" s="99">
        <v>9.0486397748592893</v>
      </c>
      <c r="BV73" s="99">
        <v>9.0980065666041305</v>
      </c>
      <c r="BW73" s="99">
        <v>9.14737335834897</v>
      </c>
      <c r="BX73" s="99">
        <v>9.1967401500938095</v>
      </c>
      <c r="BY73" s="99">
        <v>9.2461069418386508</v>
      </c>
      <c r="BZ73" s="99">
        <v>9.2954737335834903</v>
      </c>
      <c r="CA73" s="99">
        <v>9.3448405253283298</v>
      </c>
      <c r="CB73" s="99">
        <v>9.3942073170731692</v>
      </c>
      <c r="CC73" s="99">
        <v>9.4435741088180105</v>
      </c>
      <c r="CD73" s="99">
        <v>9.49294090056285</v>
      </c>
      <c r="CE73" s="99">
        <v>9.5423076923076895</v>
      </c>
      <c r="CF73" s="99">
        <v>9.5916744840525308</v>
      </c>
      <c r="CG73" s="99">
        <v>9.6410412757973702</v>
      </c>
      <c r="CH73" s="99">
        <v>9.6904080675422097</v>
      </c>
      <c r="CI73" s="99">
        <v>9.7397748592870492</v>
      </c>
      <c r="CJ73" s="99">
        <v>9.7891416510318905</v>
      </c>
      <c r="CK73" s="99">
        <v>9.83850844277673</v>
      </c>
      <c r="CL73" s="99">
        <v>9.8878752345215695</v>
      </c>
      <c r="CM73" s="99">
        <v>9.9372420262664196</v>
      </c>
      <c r="CN73" s="99">
        <v>9.9866088180112609</v>
      </c>
      <c r="CO73" s="99">
        <v>10.0359756097561</v>
      </c>
      <c r="CP73" s="99">
        <v>10.085342401500901</v>
      </c>
      <c r="CQ73" s="99">
        <v>10.134709193245801</v>
      </c>
      <c r="CR73" s="99">
        <v>10.184075984990599</v>
      </c>
      <c r="CS73" s="99">
        <v>10.233442776735499</v>
      </c>
      <c r="CT73" s="99">
        <v>10.2828095684803</v>
      </c>
      <c r="CU73" s="99">
        <v>10.3321763602251</v>
      </c>
      <c r="CV73" s="99">
        <v>10.38154315197</v>
      </c>
      <c r="CW73" s="99">
        <v>10.4309099437148</v>
      </c>
      <c r="CX73" s="99">
        <v>10.4802767354597</v>
      </c>
      <c r="CY73" s="99">
        <v>10.529643527204501</v>
      </c>
      <c r="CZ73" s="99">
        <v>10.579010318949299</v>
      </c>
      <c r="DA73" s="99">
        <v>10.628377110694201</v>
      </c>
      <c r="DB73" s="99">
        <v>10.677743902439</v>
      </c>
      <c r="DC73" s="99">
        <v>10.727110694183899</v>
      </c>
      <c r="DD73" s="99">
        <v>10.7764774859287</v>
      </c>
      <c r="DE73" s="99">
        <v>10.8258442776735</v>
      </c>
      <c r="DF73" s="99">
        <v>10.8752110694184</v>
      </c>
      <c r="DG73" s="99">
        <v>10.924577861163201</v>
      </c>
      <c r="DH73" s="99">
        <v>10.9739446529081</v>
      </c>
      <c r="DI73" s="99">
        <v>11.023311444652901</v>
      </c>
      <c r="DJ73" s="99">
        <v>11.072678236397699</v>
      </c>
      <c r="DK73" s="99">
        <v>11.122045028142599</v>
      </c>
      <c r="DL73" s="99">
        <v>11.1714118198874</v>
      </c>
      <c r="DM73" s="99">
        <v>11.2207786116323</v>
      </c>
      <c r="DN73" s="99">
        <v>11.2701454033771</v>
      </c>
      <c r="DO73" s="99">
        <v>11.319512195122</v>
      </c>
      <c r="DP73" s="99">
        <v>11.3688789868668</v>
      </c>
      <c r="DQ73" s="99">
        <v>11.418245778611601</v>
      </c>
      <c r="DR73" s="99">
        <v>11.467612570356501</v>
      </c>
      <c r="DS73" s="99">
        <v>11.516979362101299</v>
      </c>
      <c r="DT73" s="99">
        <v>11.566346153846199</v>
      </c>
      <c r="DU73" s="99">
        <v>11.615712945591</v>
      </c>
      <c r="DV73" s="99">
        <v>11.6650797373358</v>
      </c>
      <c r="DW73" s="99">
        <v>11.7144465290807</v>
      </c>
      <c r="DX73" s="99">
        <v>11.7638133208255</v>
      </c>
      <c r="DY73" s="99">
        <v>11.8131801125704</v>
      </c>
      <c r="DZ73" s="99">
        <v>11.862546904315201</v>
      </c>
      <c r="EA73" s="99">
        <v>11.911913696059999</v>
      </c>
      <c r="EB73" s="99">
        <v>11.961280487804901</v>
      </c>
      <c r="EC73" s="99">
        <v>12.010647279549699</v>
      </c>
      <c r="ED73" s="99">
        <v>12.060014071294599</v>
      </c>
      <c r="EE73" s="99">
        <v>12.1093808630394</v>
      </c>
      <c r="EF73" s="99">
        <v>12.1587476547842</v>
      </c>
      <c r="EG73" s="99">
        <v>12.2081144465291</v>
      </c>
      <c r="EH73" s="99">
        <v>12.2574812382739</v>
      </c>
      <c r="EI73" s="99">
        <v>12.3068480300188</v>
      </c>
      <c r="EJ73" s="99">
        <v>12.356214821763601</v>
      </c>
      <c r="EK73" s="99">
        <v>12.405581613508399</v>
      </c>
      <c r="EL73" s="99">
        <v>12.454948405253299</v>
      </c>
      <c r="EM73" s="99">
        <v>12.5043151969981</v>
      </c>
      <c r="EN73" s="99">
        <v>12.553681988743</v>
      </c>
      <c r="EO73" s="99">
        <v>12.6030487804878</v>
      </c>
      <c r="EP73" s="99">
        <v>12.6524155722326</v>
      </c>
      <c r="EQ73" s="99">
        <v>12.7017823639775</v>
      </c>
      <c r="ER73" s="99">
        <v>12.751149155722301</v>
      </c>
      <c r="ES73" s="99">
        <v>12.800515947467201</v>
      </c>
      <c r="ET73" s="99">
        <v>12.849882739211999</v>
      </c>
      <c r="EU73" s="99">
        <v>12.899249530956901</v>
      </c>
      <c r="EV73" s="99">
        <v>12.948616322701699</v>
      </c>
      <c r="EW73" s="99">
        <v>12.9979831144465</v>
      </c>
      <c r="EX73" s="99">
        <v>13.0473499061914</v>
      </c>
      <c r="EY73" s="99">
        <v>13.0967166979362</v>
      </c>
      <c r="EZ73" s="99">
        <v>13.1460834896811</v>
      </c>
      <c r="FA73" s="99">
        <v>13.1954502814259</v>
      </c>
      <c r="FB73" s="99">
        <v>13.244817073170699</v>
      </c>
      <c r="FC73" s="99">
        <v>13.294183864915601</v>
      </c>
      <c r="FD73" s="99">
        <v>13.343550656660399</v>
      </c>
      <c r="FE73" s="99">
        <v>13.3929174484052</v>
      </c>
      <c r="FF73" s="99">
        <v>13.4422842401501</v>
      </c>
      <c r="FG73" s="99">
        <v>13.4916510318949</v>
      </c>
      <c r="FH73" s="99">
        <v>13.5410178236398</v>
      </c>
      <c r="FI73" s="99">
        <v>13.5903846153846</v>
      </c>
      <c r="FJ73" s="99">
        <v>13.639751407129401</v>
      </c>
      <c r="FK73" s="99">
        <v>13.689118198874301</v>
      </c>
      <c r="FL73" s="99">
        <v>13.738484990619099</v>
      </c>
      <c r="FM73" s="99">
        <v>13.787851782363999</v>
      </c>
      <c r="FN73" s="99">
        <v>13.8372185741088</v>
      </c>
      <c r="FO73" s="99">
        <v>13.8865853658537</v>
      </c>
      <c r="FP73" s="99">
        <v>13.9359521575985</v>
      </c>
      <c r="FQ73" s="99">
        <v>13.9853189493433</v>
      </c>
      <c r="FR73" s="99">
        <v>14.0346857410882</v>
      </c>
      <c r="FS73" s="99">
        <v>14.084052532833001</v>
      </c>
      <c r="FT73" s="99">
        <v>14.133419324577901</v>
      </c>
      <c r="FU73" s="99">
        <v>14.182786116322699</v>
      </c>
      <c r="FV73" s="99">
        <v>14.2321529080675</v>
      </c>
      <c r="FW73" s="99">
        <v>14.281519699812399</v>
      </c>
      <c r="FX73" s="99">
        <v>14.3308864915572</v>
      </c>
      <c r="FY73" s="99">
        <v>14.3802532833021</v>
      </c>
      <c r="FZ73" s="99">
        <v>14.4296200750469</v>
      </c>
      <c r="GA73" s="99">
        <v>14.478986866791701</v>
      </c>
      <c r="GB73" s="99">
        <v>14.5283536585366</v>
      </c>
      <c r="GC73" s="99">
        <v>14.577720450281401</v>
      </c>
      <c r="GD73" s="99">
        <v>14.627087242026301</v>
      </c>
      <c r="GE73" s="99">
        <v>14.676454033771099</v>
      </c>
      <c r="GF73" s="99">
        <v>14.7258208255159</v>
      </c>
      <c r="GG73" s="99">
        <v>14.7751876172608</v>
      </c>
      <c r="GH73" s="99">
        <v>14.8245544090056</v>
      </c>
      <c r="GI73" s="99">
        <v>14.8739212007505</v>
      </c>
      <c r="GJ73" s="99">
        <v>14.9232879924953</v>
      </c>
      <c r="GK73" s="99">
        <v>14.972654784240101</v>
      </c>
      <c r="GL73" s="99">
        <v>15.022021575985001</v>
      </c>
      <c r="GM73" s="99">
        <v>15.071388367729799</v>
      </c>
      <c r="GN73" s="99">
        <v>15.120755159474699</v>
      </c>
      <c r="GO73" s="99">
        <v>15.1701219512195</v>
      </c>
      <c r="GP73" s="99">
        <v>15.219488742964399</v>
      </c>
      <c r="GQ73" s="99">
        <v>15.2688555347092</v>
      </c>
      <c r="GR73" s="99">
        <v>15.318222326454</v>
      </c>
      <c r="GS73" s="99">
        <v>15.3675891181989</v>
      </c>
      <c r="GT73" s="99">
        <v>15.416955909943701</v>
      </c>
      <c r="GU73" s="99">
        <v>15.4663227016886</v>
      </c>
      <c r="GV73" s="99">
        <v>15.515689493433401</v>
      </c>
      <c r="GW73" s="99">
        <v>15.5650562851782</v>
      </c>
      <c r="GX73" s="99">
        <v>15.614423076923099</v>
      </c>
      <c r="GY73" s="99">
        <v>15.6637898686679</v>
      </c>
      <c r="GZ73" s="99">
        <v>15.7131566604127</v>
      </c>
      <c r="HA73" s="99">
        <v>15.7625234521576</v>
      </c>
      <c r="HB73" s="99">
        <v>15.8118902439024</v>
      </c>
      <c r="HC73" s="99">
        <v>15.8612570356473</v>
      </c>
      <c r="HD73" s="99">
        <v>15.910623827392101</v>
      </c>
      <c r="HE73" s="99">
        <v>15.959990619136899</v>
      </c>
      <c r="HF73" s="99">
        <v>16.009357410881801</v>
      </c>
      <c r="HG73" s="99">
        <v>16.0587242026266</v>
      </c>
      <c r="HH73" s="99">
        <v>16.108090994371501</v>
      </c>
      <c r="HI73" s="99">
        <v>16.1574577861163</v>
      </c>
      <c r="HJ73" s="99">
        <v>16.206824577861099</v>
      </c>
      <c r="HK73" s="99">
        <v>16.256191369606</v>
      </c>
      <c r="HL73" s="99">
        <v>16.305558161350799</v>
      </c>
      <c r="HM73" s="99">
        <v>16.354924953095701</v>
      </c>
      <c r="HN73" s="99">
        <v>16.404291744840499</v>
      </c>
      <c r="HO73" s="99">
        <v>16.453658536585401</v>
      </c>
      <c r="HP73" s="99">
        <v>16.5030253283302</v>
      </c>
      <c r="HQ73" s="99">
        <v>16.552392120075002</v>
      </c>
      <c r="HR73" s="99">
        <v>16.6017589118199</v>
      </c>
      <c r="HS73" s="99">
        <v>16.651125703564698</v>
      </c>
      <c r="HT73" s="99">
        <v>16.7004924953096</v>
      </c>
      <c r="HU73" s="99">
        <v>16.749859287054399</v>
      </c>
      <c r="HV73" s="99">
        <v>16.799226078799201</v>
      </c>
      <c r="HW73" s="99">
        <v>16.848592870544099</v>
      </c>
      <c r="HX73" s="99">
        <v>16.897959662288901</v>
      </c>
      <c r="HY73" s="99">
        <v>16.947326454033799</v>
      </c>
      <c r="HZ73" s="99">
        <v>16.996693245778602</v>
      </c>
      <c r="IA73" s="99">
        <v>17.0460600375234</v>
      </c>
      <c r="IB73" s="99">
        <v>17.095426829268298</v>
      </c>
      <c r="IC73" s="99">
        <v>17.1447936210131</v>
      </c>
      <c r="ID73" s="99">
        <v>17.194160412757999</v>
      </c>
      <c r="IE73" s="99">
        <v>17.243527204502801</v>
      </c>
      <c r="IF73" s="99">
        <v>17.292893996247599</v>
      </c>
      <c r="IG73" s="99">
        <v>17.342260787992501</v>
      </c>
      <c r="IH73" s="99">
        <v>17.3916275797373</v>
      </c>
      <c r="II73" s="99">
        <v>17.440994371482201</v>
      </c>
      <c r="IJ73" s="99">
        <v>17.490361163227</v>
      </c>
      <c r="IK73" s="99">
        <v>17.539727954971799</v>
      </c>
      <c r="IL73" s="99">
        <v>17.5890947467167</v>
      </c>
      <c r="IM73" s="99">
        <v>17.638461538461499</v>
      </c>
      <c r="IN73" s="99">
        <v>17.687828330206401</v>
      </c>
      <c r="IO73" s="99">
        <v>17.737195121951199</v>
      </c>
      <c r="IP73" s="99">
        <v>17.786561913696001</v>
      </c>
      <c r="IQ73" s="99">
        <v>17.835928705440899</v>
      </c>
      <c r="IR73" s="99">
        <v>17.885295497185702</v>
      </c>
      <c r="IS73" s="99">
        <v>17.9346622889306</v>
      </c>
      <c r="IT73" s="99">
        <v>17.984029080675398</v>
      </c>
      <c r="IU73" s="99">
        <v>18.033395872420201</v>
      </c>
      <c r="IV73" s="99">
        <v>18.082762664165099</v>
      </c>
      <c r="IW73" s="99">
        <v>18.132129455909901</v>
      </c>
      <c r="IX73" s="99">
        <v>18.181496247654799</v>
      </c>
      <c r="IY73" s="99">
        <v>18.230863039399601</v>
      </c>
      <c r="IZ73" s="99">
        <v>18.280229831144499</v>
      </c>
      <c r="JA73" s="99">
        <v>18.329596622889301</v>
      </c>
      <c r="JB73" s="99">
        <v>18.3789634146341</v>
      </c>
      <c r="JC73" s="99">
        <v>18.428330206379002</v>
      </c>
      <c r="JD73" s="99">
        <v>18.4776969981238</v>
      </c>
      <c r="JE73" s="99">
        <v>18.527063789868699</v>
      </c>
      <c r="JF73" s="99">
        <v>18.576430581613501</v>
      </c>
      <c r="JG73" s="99">
        <v>18.625797373358299</v>
      </c>
      <c r="JH73" s="99">
        <v>18.675164165103201</v>
      </c>
      <c r="JI73" s="99">
        <v>18.724530956848</v>
      </c>
      <c r="JJ73" s="99">
        <v>18.773897748592901</v>
      </c>
      <c r="JK73" s="99">
        <v>18.8232645403377</v>
      </c>
      <c r="JL73" s="99">
        <v>18.872631332082499</v>
      </c>
      <c r="JM73" s="99">
        <v>18.9219981238274</v>
      </c>
      <c r="JN73" s="99">
        <v>18.971364915572199</v>
      </c>
      <c r="JO73" s="99">
        <v>19.020731707317101</v>
      </c>
      <c r="JP73" s="99">
        <v>19.070098499061899</v>
      </c>
      <c r="JQ73" s="99">
        <v>19.119465290806701</v>
      </c>
      <c r="JR73" s="99">
        <v>19.168832082551599</v>
      </c>
      <c r="JS73" s="99">
        <v>19.218198874296402</v>
      </c>
      <c r="JT73" s="99">
        <v>19.2675656660413</v>
      </c>
      <c r="JU73" s="99">
        <v>19.316932457786098</v>
      </c>
      <c r="JV73" s="99">
        <v>19.366299249530901</v>
      </c>
      <c r="JW73" s="99">
        <v>19.415666041275799</v>
      </c>
      <c r="JX73" s="99">
        <v>19.465032833020601</v>
      </c>
      <c r="JY73" s="99">
        <v>19.514399624765499</v>
      </c>
      <c r="JZ73" s="99">
        <v>19.563766416510301</v>
      </c>
      <c r="KA73" s="99">
        <v>19.6131332082551</v>
      </c>
      <c r="KB73" s="99">
        <v>19.662500000000001</v>
      </c>
      <c r="KC73" s="99">
        <v>19.7118667917448</v>
      </c>
      <c r="KD73" s="99">
        <v>19.761233583489702</v>
      </c>
      <c r="KE73" s="99">
        <v>19.8106003752345</v>
      </c>
      <c r="KF73" s="99">
        <v>19.859967166979299</v>
      </c>
      <c r="KG73" s="99">
        <v>19.909333958724201</v>
      </c>
      <c r="KH73" s="99">
        <v>19.958700750468999</v>
      </c>
      <c r="KI73" s="99">
        <v>20.008067542213901</v>
      </c>
      <c r="KJ73" s="99">
        <v>20.0574343339587</v>
      </c>
      <c r="KK73" s="99">
        <v>20.106801125703502</v>
      </c>
      <c r="KL73" s="99">
        <v>20.1561679174484</v>
      </c>
      <c r="KM73" s="99">
        <v>20.205534709193198</v>
      </c>
      <c r="KN73" s="99">
        <v>20.2549015009381</v>
      </c>
      <c r="KO73" s="99">
        <v>20.304268292682899</v>
      </c>
      <c r="KP73" s="99">
        <v>20.3536350844278</v>
      </c>
      <c r="KQ73" s="99">
        <v>20.403001876172599</v>
      </c>
      <c r="KR73" s="99">
        <v>20.452368667917401</v>
      </c>
      <c r="KS73" s="99">
        <v>20.501735459662299</v>
      </c>
      <c r="KT73" s="99">
        <v>20.551102251407102</v>
      </c>
      <c r="KU73" s="99">
        <v>20.600469043152</v>
      </c>
      <c r="KV73" s="99">
        <v>20.649835834896798</v>
      </c>
      <c r="KW73" s="99">
        <v>20.6992026266416</v>
      </c>
      <c r="KX73" s="99">
        <v>20.748569418386499</v>
      </c>
      <c r="KY73" s="99">
        <v>20.797936210131301</v>
      </c>
      <c r="KZ73" s="99">
        <v>20.847303001876199</v>
      </c>
      <c r="LA73" s="99">
        <v>20.896669793621001</v>
      </c>
      <c r="LB73" s="99">
        <v>20.9460365853658</v>
      </c>
      <c r="LC73" s="99">
        <v>20.995403377110701</v>
      </c>
      <c r="LD73" s="99">
        <v>21.0447701688555</v>
      </c>
      <c r="LE73" s="99">
        <v>21.094136960600402</v>
      </c>
      <c r="LF73" s="99">
        <v>21.1435037523452</v>
      </c>
      <c r="LG73" s="99">
        <v>21.192870544089999</v>
      </c>
      <c r="LH73" s="99">
        <v>21.242237335834901</v>
      </c>
      <c r="LI73" s="99">
        <v>21.291604127579699</v>
      </c>
      <c r="LJ73" s="99">
        <v>21.340970919324601</v>
      </c>
      <c r="LK73" s="99">
        <v>21.3903377110694</v>
      </c>
      <c r="LL73" s="99">
        <v>21.439704502814202</v>
      </c>
      <c r="LM73" s="99">
        <v>21.4890712945591</v>
      </c>
      <c r="LN73" s="99">
        <v>21.538438086303898</v>
      </c>
      <c r="LO73" s="99">
        <v>21.5878048780488</v>
      </c>
      <c r="LP73" s="99">
        <v>21.637171669793599</v>
      </c>
      <c r="LQ73" s="99">
        <v>21.686538461538401</v>
      </c>
      <c r="LR73" s="99">
        <v>21.735905253283299</v>
      </c>
      <c r="LS73" s="99">
        <v>21.785272045028101</v>
      </c>
      <c r="LT73" s="99">
        <v>21.834638836772999</v>
      </c>
      <c r="LU73" s="99">
        <v>21.884005628517802</v>
      </c>
      <c r="LV73" s="99">
        <v>21.9333724202626</v>
      </c>
      <c r="LW73" s="99">
        <v>21.982739212007498</v>
      </c>
      <c r="LX73" s="99">
        <v>22.0321060037523</v>
      </c>
      <c r="LY73" s="99">
        <v>22.081472795497199</v>
      </c>
      <c r="LZ73" s="99">
        <v>22.130839587242001</v>
      </c>
      <c r="MA73" s="99">
        <v>22.180206378986899</v>
      </c>
      <c r="MB73" s="99">
        <v>22.229573170731701</v>
      </c>
      <c r="MC73" s="99">
        <v>22.2789399624765</v>
      </c>
      <c r="MD73" s="99">
        <v>22.328306754221401</v>
      </c>
      <c r="ME73" s="99">
        <v>22.3776735459662</v>
      </c>
      <c r="MF73" s="99">
        <v>22.427040337711102</v>
      </c>
      <c r="MG73" s="99">
        <v>22.4764071294559</v>
      </c>
      <c r="MH73" s="99">
        <v>22.525773921200699</v>
      </c>
      <c r="MI73" s="99">
        <v>22.575140712945601</v>
      </c>
      <c r="MJ73" s="99">
        <v>22.624507504690399</v>
      </c>
      <c r="MK73" s="99">
        <v>22.673874296435301</v>
      </c>
      <c r="ML73" s="99">
        <v>22.723241088180099</v>
      </c>
      <c r="MM73" s="99">
        <v>22.772607879924902</v>
      </c>
      <c r="MN73" s="99">
        <v>22.8219746716698</v>
      </c>
      <c r="MO73" s="99">
        <v>22.871341463414598</v>
      </c>
      <c r="MP73" s="99">
        <v>22.9207082551595</v>
      </c>
      <c r="MQ73" s="99">
        <v>22.970075046904299</v>
      </c>
      <c r="MR73" s="99">
        <v>23.019441838649101</v>
      </c>
      <c r="MS73" s="99">
        <v>23.068808630393999</v>
      </c>
      <c r="MT73" s="99">
        <v>23.118175422138801</v>
      </c>
      <c r="MU73" s="99">
        <v>23.167542213883699</v>
      </c>
      <c r="MV73" s="99">
        <v>23.216909005628501</v>
      </c>
      <c r="MW73" s="99">
        <v>23.2662757973733</v>
      </c>
      <c r="MX73" s="99">
        <v>23.315642589118202</v>
      </c>
      <c r="MY73" s="99">
        <v>23.365009380863</v>
      </c>
      <c r="MZ73" s="99">
        <v>23.414376172607898</v>
      </c>
      <c r="NA73" s="99">
        <v>23.463742964352701</v>
      </c>
      <c r="NB73" s="99">
        <v>23.513109756097499</v>
      </c>
      <c r="NC73" s="99">
        <v>23.562476547842401</v>
      </c>
      <c r="ND73" s="99">
        <v>23.6118433395872</v>
      </c>
      <c r="NE73" s="99">
        <v>23.661210131332101</v>
      </c>
      <c r="NF73" s="99">
        <v>23.7105769230769</v>
      </c>
      <c r="NG73" s="99">
        <v>23.759943714821699</v>
      </c>
      <c r="NH73" s="99">
        <v>23.8093105065666</v>
      </c>
      <c r="NI73" s="99">
        <v>23.858677298311399</v>
      </c>
      <c r="NJ73" s="99">
        <v>23.9080440900563</v>
      </c>
      <c r="NK73" s="99">
        <v>23.957410881801099</v>
      </c>
      <c r="NL73" s="99">
        <v>24.006777673545901</v>
      </c>
      <c r="NM73" s="99">
        <v>24.056144465290799</v>
      </c>
      <c r="NN73" s="99">
        <v>24.105511257035602</v>
      </c>
      <c r="NO73" s="99">
        <v>24.1548780487805</v>
      </c>
      <c r="NP73" s="99">
        <v>24.204244840525298</v>
      </c>
      <c r="NQ73" s="99">
        <v>24.2536116322702</v>
      </c>
      <c r="NR73" s="99">
        <v>24.302978424014999</v>
      </c>
      <c r="NS73" s="99">
        <v>24.352345215759801</v>
      </c>
      <c r="NT73" s="99">
        <v>24.401712007504699</v>
      </c>
      <c r="NU73" s="99">
        <v>24.451078799249501</v>
      </c>
      <c r="NV73" s="99">
        <v>24.500445590994399</v>
      </c>
      <c r="NW73" s="99">
        <v>24.549812382739201</v>
      </c>
      <c r="NX73" s="99">
        <v>24.599179174484</v>
      </c>
      <c r="NY73" s="99">
        <v>24.648545966228902</v>
      </c>
      <c r="NZ73" s="99">
        <v>24.6979127579737</v>
      </c>
      <c r="OA73" s="99">
        <v>24.747279549718598</v>
      </c>
      <c r="OB73" s="99">
        <v>24.796646341463401</v>
      </c>
      <c r="OC73" s="99">
        <v>24.846013133208199</v>
      </c>
      <c r="OD73" s="99">
        <v>24.895379924953101</v>
      </c>
      <c r="OE73" s="99">
        <v>24.9447467166979</v>
      </c>
      <c r="OF73" s="99">
        <v>24.994113508442801</v>
      </c>
      <c r="OG73" s="99">
        <v>25.0434803001876</v>
      </c>
      <c r="OH73" s="99">
        <v>25.092847091932398</v>
      </c>
      <c r="OI73" s="99">
        <v>25.1422138836773</v>
      </c>
      <c r="OJ73" s="99">
        <v>25.191580675422099</v>
      </c>
      <c r="OK73" s="99">
        <v>25.240947467167</v>
      </c>
      <c r="OL73" s="99">
        <v>25.290314258911799</v>
      </c>
      <c r="OM73" s="99">
        <v>25.339681050656601</v>
      </c>
      <c r="ON73" s="99">
        <v>25.389047842401499</v>
      </c>
      <c r="OO73" s="99">
        <v>25.438414634146302</v>
      </c>
      <c r="OP73" s="99">
        <v>25.4877814258912</v>
      </c>
      <c r="OQ73" s="99">
        <v>25.537148217635998</v>
      </c>
      <c r="OR73" s="99">
        <v>25.5865150093808</v>
      </c>
      <c r="OS73" s="99">
        <v>25.635881801125699</v>
      </c>
      <c r="OT73" s="99">
        <v>25.685248592870501</v>
      </c>
      <c r="OU73" s="99">
        <v>25.734615384615399</v>
      </c>
      <c r="OV73" s="99">
        <v>25.783982176360201</v>
      </c>
      <c r="OW73" s="99">
        <v>25.833348968105099</v>
      </c>
      <c r="OX73" s="99">
        <v>25.882715759849901</v>
      </c>
      <c r="OY73" s="99">
        <v>25.9320825515947</v>
      </c>
      <c r="OZ73" s="99">
        <v>25.981449343339602</v>
      </c>
      <c r="PA73" s="99">
        <v>26.0308161350844</v>
      </c>
      <c r="PB73" s="99">
        <v>26.080182926829298</v>
      </c>
      <c r="PC73" s="99">
        <v>26.129549718574101</v>
      </c>
      <c r="PD73" s="99">
        <v>26.178916510318899</v>
      </c>
      <c r="PE73" s="99">
        <v>26.228283302063801</v>
      </c>
      <c r="PF73" s="99">
        <v>26.2776500938086</v>
      </c>
      <c r="PG73" s="99">
        <v>26.327016885553501</v>
      </c>
      <c r="PH73" s="99">
        <v>26.3763836772983</v>
      </c>
      <c r="PI73" s="99">
        <v>26.425750469043098</v>
      </c>
      <c r="PJ73" s="99">
        <v>26.475117260788</v>
      </c>
      <c r="PK73" s="99">
        <v>26.524484052532799</v>
      </c>
      <c r="PL73" s="99">
        <v>26.5738508442777</v>
      </c>
      <c r="PM73" s="99">
        <v>26.623217636022499</v>
      </c>
      <c r="PN73" s="99">
        <v>26.672584427767301</v>
      </c>
      <c r="PO73" s="99">
        <v>26.721951219512199</v>
      </c>
      <c r="PP73" s="99">
        <v>26.771318011257002</v>
      </c>
      <c r="PQ73" s="99">
        <v>26.8206848030019</v>
      </c>
      <c r="PR73" s="99">
        <v>26.870051594746698</v>
      </c>
      <c r="PS73" s="99">
        <v>26.9194183864915</v>
      </c>
      <c r="PT73" s="99">
        <v>26.968785178236399</v>
      </c>
      <c r="PU73" s="99">
        <v>27.018151969981201</v>
      </c>
      <c r="PV73" s="99">
        <v>27.067518761726099</v>
      </c>
      <c r="PW73" s="99">
        <v>27.116885553470901</v>
      </c>
      <c r="PX73" s="99">
        <v>27.1662523452157</v>
      </c>
      <c r="PY73" s="99">
        <v>27.215619136960601</v>
      </c>
      <c r="PZ73" s="99">
        <v>27.2649859287054</v>
      </c>
      <c r="QA73" s="99">
        <v>27.314352720450302</v>
      </c>
      <c r="QB73" s="99">
        <v>27.3637195121951</v>
      </c>
      <c r="QC73" s="99">
        <v>27.413086303939899</v>
      </c>
      <c r="QD73" s="99">
        <v>27.462453095684801</v>
      </c>
      <c r="QE73" s="99">
        <v>27.511819887429599</v>
      </c>
      <c r="QF73" s="99">
        <v>27.561186679174501</v>
      </c>
      <c r="QG73" s="99">
        <v>27.610553470919299</v>
      </c>
      <c r="QH73" s="99">
        <v>27.659920262664102</v>
      </c>
      <c r="QI73" s="99">
        <v>27.709287054409</v>
      </c>
      <c r="QJ73" s="99">
        <v>27.758653846153798</v>
      </c>
      <c r="QK73" s="99">
        <v>27.8080206378987</v>
      </c>
      <c r="QL73" s="99">
        <v>27.857387429643499</v>
      </c>
      <c r="QM73" s="99">
        <v>27.9067542213884</v>
      </c>
      <c r="QN73" s="99">
        <v>27.956121013133199</v>
      </c>
      <c r="QO73" s="99">
        <v>28.005487804878001</v>
      </c>
      <c r="QP73" s="99">
        <v>28.054854596622899</v>
      </c>
      <c r="QQ73" s="99">
        <v>28.104221388367701</v>
      </c>
      <c r="QR73" s="99">
        <v>28.1535881801126</v>
      </c>
      <c r="QS73" s="99">
        <v>28.202954971857402</v>
      </c>
      <c r="QT73" s="99">
        <v>28.2523217636022</v>
      </c>
      <c r="QU73" s="99">
        <v>28.301688555347098</v>
      </c>
      <c r="QV73" s="99">
        <v>28.351055347091901</v>
      </c>
      <c r="QW73" s="99">
        <v>28.400422138836799</v>
      </c>
      <c r="QX73" s="99">
        <v>28.449788930581601</v>
      </c>
      <c r="QY73" s="99">
        <v>28.4991557223264</v>
      </c>
      <c r="QZ73" s="99">
        <v>28.548522514071301</v>
      </c>
      <c r="RA73" s="99">
        <v>28.5978893058161</v>
      </c>
      <c r="RB73" s="99">
        <v>28.647256097561002</v>
      </c>
      <c r="RC73" s="99">
        <v>28.6966228893058</v>
      </c>
      <c r="RD73" s="99">
        <v>28.745989681050599</v>
      </c>
      <c r="RE73" s="99">
        <v>28.7953564727955</v>
      </c>
      <c r="RF73" s="99">
        <v>28.844723264540299</v>
      </c>
      <c r="RG73" s="99">
        <v>28.894090056285201</v>
      </c>
      <c r="RH73" s="99">
        <v>28.943456848029999</v>
      </c>
      <c r="RI73" s="99">
        <v>28.992823639774802</v>
      </c>
      <c r="RJ73" s="99">
        <v>29.0421904315197</v>
      </c>
      <c r="RK73" s="99">
        <v>29.091557223264498</v>
      </c>
      <c r="RL73" s="99">
        <v>29.1409240150094</v>
      </c>
      <c r="RM73" s="99">
        <v>29.190290806754199</v>
      </c>
      <c r="RN73" s="99">
        <v>29.239657598499001</v>
      </c>
      <c r="RO73" s="99">
        <v>29.289024390243899</v>
      </c>
      <c r="RP73" s="99">
        <v>29.338391181988701</v>
      </c>
      <c r="RQ73" s="99">
        <v>29.387757973733599</v>
      </c>
      <c r="RR73" s="99">
        <v>29.437124765478401</v>
      </c>
      <c r="RS73" s="99">
        <v>29.4864915572232</v>
      </c>
      <c r="RT73" s="99">
        <v>29.535858348968102</v>
      </c>
      <c r="RU73" s="99">
        <v>29.5852251407129</v>
      </c>
      <c r="RV73" s="99">
        <v>29.634591932457798</v>
      </c>
      <c r="RW73" s="99">
        <v>29.683958724202601</v>
      </c>
      <c r="RX73" s="99">
        <v>29.733325515947499</v>
      </c>
      <c r="RY73" s="99">
        <v>29.782692307692301</v>
      </c>
      <c r="RZ73" s="99">
        <v>29.8320590994371</v>
      </c>
      <c r="SA73" s="99">
        <v>29.881425891182001</v>
      </c>
      <c r="SB73" s="99">
        <v>29.9307926829268</v>
      </c>
      <c r="SC73" s="99">
        <v>29.980159474671702</v>
      </c>
      <c r="SD73" s="99">
        <v>30.0295262664165</v>
      </c>
      <c r="SE73" s="99">
        <v>30.078893058161299</v>
      </c>
      <c r="SF73" s="99">
        <v>30.1282598499062</v>
      </c>
      <c r="SG73" s="99">
        <v>30.177626641650999</v>
      </c>
      <c r="SH73" s="99">
        <v>30.226993433395901</v>
      </c>
      <c r="SI73" s="99">
        <v>30.276360225140699</v>
      </c>
      <c r="SJ73" s="99">
        <v>30.325727016885502</v>
      </c>
      <c r="SK73" s="99">
        <v>30.3750938086304</v>
      </c>
      <c r="SL73" s="99">
        <v>30.424460600375198</v>
      </c>
      <c r="SM73" s="99">
        <v>30.4738273921201</v>
      </c>
      <c r="SN73" s="99">
        <v>30.523194183864899</v>
      </c>
      <c r="SO73" s="99">
        <v>30.572560975609701</v>
      </c>
      <c r="SP73" s="99">
        <v>30.621927767354599</v>
      </c>
      <c r="SQ73" s="99">
        <v>30.671294559099401</v>
      </c>
      <c r="SR73" s="99">
        <v>30.720661350844299</v>
      </c>
      <c r="SS73" s="99">
        <v>30.770028142589101</v>
      </c>
      <c r="ST73" s="99">
        <v>30.8193949343339</v>
      </c>
      <c r="SU73" s="99">
        <v>30.868761726078802</v>
      </c>
      <c r="SV73" s="99">
        <v>30.9181285178236</v>
      </c>
      <c r="SW73" s="99">
        <v>30.967495309568498</v>
      </c>
      <c r="SX73" s="99">
        <v>31.016862101313301</v>
      </c>
      <c r="SY73" s="99">
        <v>31.066228893058099</v>
      </c>
      <c r="SZ73" s="99">
        <v>31.115595684803001</v>
      </c>
      <c r="TA73" s="99">
        <v>31.164962476547799</v>
      </c>
      <c r="TB73" s="99">
        <v>31.214329268292701</v>
      </c>
      <c r="TC73" s="99">
        <v>31.2636960600375</v>
      </c>
      <c r="TD73" s="99">
        <v>31.313062851782298</v>
      </c>
      <c r="TE73" s="99">
        <v>31.3624296435272</v>
      </c>
      <c r="TF73" s="99">
        <v>31.411796435271999</v>
      </c>
      <c r="TG73" s="99">
        <v>31.4611632270169</v>
      </c>
      <c r="TH73" s="99">
        <v>31.510530018761699</v>
      </c>
      <c r="TI73" s="99">
        <v>31.559896810506501</v>
      </c>
      <c r="TJ73" s="99">
        <v>31.609263602251399</v>
      </c>
      <c r="TK73" s="99">
        <v>31.658630393996201</v>
      </c>
      <c r="TL73" s="99">
        <v>31.7079971857411</v>
      </c>
      <c r="TM73" s="99">
        <v>31.757363977485898</v>
      </c>
      <c r="TN73" s="99">
        <v>31.8067307692308</v>
      </c>
      <c r="TO73" s="99">
        <v>31.856097560975599</v>
      </c>
      <c r="TP73" s="99">
        <v>31.905464352720401</v>
      </c>
      <c r="TQ73" s="99">
        <v>31.954831144465299</v>
      </c>
      <c r="TR73" s="99">
        <v>32.004197936210097</v>
      </c>
      <c r="TS73" s="99">
        <v>32.053564727954999</v>
      </c>
      <c r="TT73" s="99">
        <v>32.102931519699801</v>
      </c>
      <c r="TU73" s="99">
        <v>32.152298311444603</v>
      </c>
      <c r="TV73" s="99">
        <v>32.201665103189498</v>
      </c>
      <c r="TW73" s="99">
        <v>32.2510318949343</v>
      </c>
      <c r="TX73" s="99">
        <v>32.300398686679202</v>
      </c>
      <c r="TY73" s="99">
        <v>32.349765478423997</v>
      </c>
      <c r="TZ73" s="99">
        <v>32.399132270168799</v>
      </c>
      <c r="UA73" s="99">
        <v>32.448499061913701</v>
      </c>
      <c r="UB73" s="99">
        <v>32.497865853658503</v>
      </c>
      <c r="UC73" s="99">
        <v>32.547232645403398</v>
      </c>
      <c r="UD73" s="99">
        <v>32.5965994371482</v>
      </c>
      <c r="UE73" s="99">
        <v>32.645966228893002</v>
      </c>
      <c r="UF73" s="99">
        <v>32.695333020637896</v>
      </c>
      <c r="UG73" s="99">
        <v>32.744699812382699</v>
      </c>
      <c r="UH73" s="99">
        <v>32.7940666041276</v>
      </c>
      <c r="UI73" s="99">
        <v>32.843433395872403</v>
      </c>
      <c r="UJ73" s="99">
        <v>32.892800187617198</v>
      </c>
      <c r="UK73" s="99">
        <v>32.942166979362099</v>
      </c>
      <c r="UL73" s="99">
        <v>32.991533771106901</v>
      </c>
      <c r="UM73" s="99">
        <v>33.040900562851803</v>
      </c>
      <c r="UN73" s="99">
        <v>33.090267354596598</v>
      </c>
      <c r="UO73" s="99">
        <v>33.1396341463414</v>
      </c>
      <c r="UP73" s="99">
        <v>33.189000938086302</v>
      </c>
      <c r="UQ73" s="99">
        <v>33.238367729831097</v>
      </c>
      <c r="UR73" s="99">
        <v>33.287734521575999</v>
      </c>
      <c r="US73" s="99">
        <v>33.337101313320801</v>
      </c>
      <c r="UT73" s="99">
        <v>33.386468105065603</v>
      </c>
    </row>
    <row r="74" spans="1:566" x14ac:dyDescent="0.2">
      <c r="A74" s="89">
        <v>34</v>
      </c>
      <c r="B74" s="90">
        <v>5.5</v>
      </c>
      <c r="C74" s="90">
        <v>5.54</v>
      </c>
      <c r="D74" s="90">
        <v>5.59</v>
      </c>
      <c r="E74" s="90">
        <v>5.64</v>
      </c>
      <c r="F74" s="90">
        <v>5.69</v>
      </c>
      <c r="G74" s="90">
        <v>5.74</v>
      </c>
      <c r="H74" s="90">
        <v>5.79</v>
      </c>
      <c r="I74" s="90">
        <v>5.84</v>
      </c>
      <c r="J74" s="90">
        <v>5.89</v>
      </c>
      <c r="K74" s="90">
        <v>5.94</v>
      </c>
      <c r="L74" s="90">
        <v>5.99</v>
      </c>
      <c r="M74" s="90">
        <v>6.04</v>
      </c>
      <c r="N74" s="90">
        <v>6.08</v>
      </c>
      <c r="O74" s="90">
        <v>6.13</v>
      </c>
      <c r="P74" s="90">
        <v>6.18</v>
      </c>
      <c r="Q74" s="90">
        <v>6.23</v>
      </c>
      <c r="R74" s="90">
        <v>6.28</v>
      </c>
      <c r="S74" s="90">
        <v>6.33</v>
      </c>
      <c r="T74" s="90">
        <v>6.38</v>
      </c>
      <c r="U74" s="91">
        <v>6.43</v>
      </c>
      <c r="V74" s="90">
        <v>6.48</v>
      </c>
      <c r="W74" s="90">
        <v>6.53</v>
      </c>
      <c r="X74" s="90">
        <v>6.57</v>
      </c>
      <c r="Y74" s="90">
        <v>6.62</v>
      </c>
      <c r="Z74" s="90">
        <v>6.67</v>
      </c>
      <c r="AA74" s="90">
        <v>6.72</v>
      </c>
      <c r="AB74" s="90">
        <v>6.77</v>
      </c>
      <c r="AC74" s="90">
        <v>6.82</v>
      </c>
      <c r="AD74" s="90">
        <v>6.87</v>
      </c>
      <c r="AE74" s="90">
        <v>6.92</v>
      </c>
      <c r="AF74" s="90">
        <v>6.97</v>
      </c>
      <c r="AG74" s="90">
        <v>7.02</v>
      </c>
      <c r="AH74" s="90">
        <v>7.06</v>
      </c>
      <c r="AI74" s="90">
        <v>7.11</v>
      </c>
      <c r="AJ74" s="90">
        <v>7.16</v>
      </c>
      <c r="AK74" s="90">
        <v>7.21</v>
      </c>
      <c r="AL74" s="90">
        <v>7.26</v>
      </c>
      <c r="AM74" s="90">
        <v>7.31</v>
      </c>
      <c r="AN74" s="90">
        <v>7.36</v>
      </c>
      <c r="AO74" s="91">
        <v>7.41</v>
      </c>
      <c r="AP74" s="90">
        <v>7.4569999999999999</v>
      </c>
      <c r="AQ74" s="90">
        <v>7.5060365853658499</v>
      </c>
      <c r="AR74" s="90">
        <v>7.5550731707317</v>
      </c>
      <c r="AS74" s="90">
        <v>7.6041097560975599</v>
      </c>
      <c r="AT74" s="90">
        <v>7.65314634146341</v>
      </c>
      <c r="AU74" s="90">
        <v>7.7021829268292601</v>
      </c>
      <c r="AV74" s="90">
        <v>7.75121951219512</v>
      </c>
      <c r="AW74" s="90">
        <v>7.80025609756097</v>
      </c>
      <c r="AX74" s="90">
        <v>7.8492926829268299</v>
      </c>
      <c r="AY74" s="90">
        <v>7.89832926829268</v>
      </c>
      <c r="AZ74" s="90">
        <v>7.9473658536585301</v>
      </c>
      <c r="BA74" s="90">
        <v>7.99640243902439</v>
      </c>
      <c r="BB74" s="90">
        <v>8.0454390243902392</v>
      </c>
      <c r="BC74" s="90">
        <v>8.0944756097560902</v>
      </c>
      <c r="BD74" s="90">
        <v>8.14351219512195</v>
      </c>
      <c r="BE74" s="90">
        <v>8.1925487804877992</v>
      </c>
      <c r="BF74" s="90">
        <v>8.2415853658536502</v>
      </c>
      <c r="BG74" s="90">
        <v>8.2906219512195101</v>
      </c>
      <c r="BH74" s="90">
        <v>8.3396585365853593</v>
      </c>
      <c r="BI74" s="91">
        <v>8.3886951219512191</v>
      </c>
      <c r="BJ74" s="90">
        <v>8.4377317073170701</v>
      </c>
      <c r="BK74" s="99">
        <v>8.4867682926829193</v>
      </c>
      <c r="BL74" s="99">
        <v>8.5358048780487792</v>
      </c>
      <c r="BM74" s="99">
        <v>8.5848414634146302</v>
      </c>
      <c r="BN74" s="99">
        <v>8.6338780487804794</v>
      </c>
      <c r="BO74" s="99">
        <v>8.6829146341463392</v>
      </c>
      <c r="BP74" s="99">
        <v>8.7319512195121902</v>
      </c>
      <c r="BQ74" s="99">
        <v>8.7809878048780394</v>
      </c>
      <c r="BR74" s="99">
        <v>8.8300243902438993</v>
      </c>
      <c r="BS74" s="99">
        <v>8.8790609756097503</v>
      </c>
      <c r="BT74" s="99">
        <v>8.9280975609756101</v>
      </c>
      <c r="BU74" s="99">
        <v>8.9771341463414593</v>
      </c>
      <c r="BV74" s="99">
        <v>9.0261707317073103</v>
      </c>
      <c r="BW74" s="99">
        <v>9.0752073170731702</v>
      </c>
      <c r="BX74" s="99">
        <v>9.1242439024390194</v>
      </c>
      <c r="BY74" s="99">
        <v>9.1732804878048704</v>
      </c>
      <c r="BZ74" s="99">
        <v>9.2223170731707302</v>
      </c>
      <c r="CA74" s="99">
        <v>9.2713536585365794</v>
      </c>
      <c r="CB74" s="99">
        <v>9.3203902439024304</v>
      </c>
      <c r="CC74" s="99">
        <v>9.3694268292682903</v>
      </c>
      <c r="CD74" s="99">
        <v>9.4184634146341395</v>
      </c>
      <c r="CE74" s="99">
        <v>9.4674999999999994</v>
      </c>
      <c r="CF74" s="99">
        <v>9.5165365853658503</v>
      </c>
      <c r="CG74" s="99">
        <v>9.5655731707316995</v>
      </c>
      <c r="CH74" s="99">
        <v>9.6146097560975594</v>
      </c>
      <c r="CI74" s="99">
        <v>9.6636463414634104</v>
      </c>
      <c r="CJ74" s="99">
        <v>9.7126829268292596</v>
      </c>
      <c r="CK74" s="99">
        <v>9.7617195121951195</v>
      </c>
      <c r="CL74" s="99">
        <v>9.8107560975609704</v>
      </c>
      <c r="CM74" s="99">
        <v>9.8597926829268303</v>
      </c>
      <c r="CN74" s="99">
        <v>9.9088292682926795</v>
      </c>
      <c r="CO74" s="99">
        <v>9.9578658536585305</v>
      </c>
      <c r="CP74" s="99">
        <v>10.006902439024399</v>
      </c>
      <c r="CQ74" s="99">
        <v>10.0559390243902</v>
      </c>
      <c r="CR74" s="99">
        <v>10.104975609756099</v>
      </c>
      <c r="CS74" s="99">
        <v>10.154012195122</v>
      </c>
      <c r="CT74" s="99">
        <v>10.2030487804878</v>
      </c>
      <c r="CU74" s="99">
        <v>10.2520853658537</v>
      </c>
      <c r="CV74" s="99">
        <v>10.3011219512195</v>
      </c>
      <c r="CW74" s="99">
        <v>10.350158536585401</v>
      </c>
      <c r="CX74" s="99">
        <v>10.3991951219512</v>
      </c>
      <c r="CY74" s="99">
        <v>10.448231707317101</v>
      </c>
      <c r="CZ74" s="99">
        <v>10.4972682926829</v>
      </c>
      <c r="DA74" s="99">
        <v>10.546304878048799</v>
      </c>
      <c r="DB74" s="99">
        <v>10.5953414634146</v>
      </c>
      <c r="DC74" s="99">
        <v>10.644378048780499</v>
      </c>
      <c r="DD74" s="99">
        <v>10.693414634146301</v>
      </c>
      <c r="DE74" s="99">
        <v>10.7424512195122</v>
      </c>
      <c r="DF74" s="99">
        <v>10.791487804878001</v>
      </c>
      <c r="DG74" s="99">
        <v>10.8405243902439</v>
      </c>
      <c r="DH74" s="99">
        <v>10.8895609756098</v>
      </c>
      <c r="DI74" s="99">
        <v>10.9385975609756</v>
      </c>
      <c r="DJ74" s="99">
        <v>10.987634146341501</v>
      </c>
      <c r="DK74" s="99">
        <v>11.0366707317073</v>
      </c>
      <c r="DL74" s="99">
        <v>11.085707317073201</v>
      </c>
      <c r="DM74" s="99">
        <v>11.134743902439</v>
      </c>
      <c r="DN74" s="99">
        <v>11.183780487804899</v>
      </c>
      <c r="DO74" s="99">
        <v>11.2328170731707</v>
      </c>
      <c r="DP74" s="99">
        <v>11.281853658536599</v>
      </c>
      <c r="DQ74" s="99">
        <v>11.330890243902401</v>
      </c>
      <c r="DR74" s="99">
        <v>11.3799268292683</v>
      </c>
      <c r="DS74" s="99">
        <v>11.428963414634101</v>
      </c>
      <c r="DT74" s="99">
        <v>11.478</v>
      </c>
      <c r="DU74" s="99">
        <v>11.5270365853659</v>
      </c>
      <c r="DV74" s="99">
        <v>11.5760731707317</v>
      </c>
      <c r="DW74" s="99">
        <v>11.625109756097601</v>
      </c>
      <c r="DX74" s="99">
        <v>11.6741463414634</v>
      </c>
      <c r="DY74" s="99">
        <v>11.723182926829301</v>
      </c>
      <c r="DZ74" s="99">
        <v>11.7722195121951</v>
      </c>
      <c r="EA74" s="99">
        <v>11.821256097560999</v>
      </c>
      <c r="EB74" s="99">
        <v>11.870292682926801</v>
      </c>
      <c r="EC74" s="99">
        <v>11.919329268292699</v>
      </c>
      <c r="ED74" s="99">
        <v>11.968365853658501</v>
      </c>
      <c r="EE74" s="99">
        <v>12.0174024390244</v>
      </c>
      <c r="EF74" s="99">
        <v>12.066439024390201</v>
      </c>
      <c r="EG74" s="99">
        <v>12.1154756097561</v>
      </c>
      <c r="EH74" s="99">
        <v>12.164512195122001</v>
      </c>
      <c r="EI74" s="99">
        <v>12.2135487804878</v>
      </c>
      <c r="EJ74" s="99">
        <v>12.262585365853701</v>
      </c>
      <c r="EK74" s="99">
        <v>12.3116219512195</v>
      </c>
      <c r="EL74" s="99">
        <v>12.360658536585399</v>
      </c>
      <c r="EM74" s="99">
        <v>12.4096951219512</v>
      </c>
      <c r="EN74" s="99">
        <v>12.458731707317099</v>
      </c>
      <c r="EO74" s="99">
        <v>12.507768292682901</v>
      </c>
      <c r="EP74" s="99">
        <v>12.5568048780488</v>
      </c>
      <c r="EQ74" s="99">
        <v>12.605841463414601</v>
      </c>
      <c r="ER74" s="99">
        <v>12.6548780487805</v>
      </c>
      <c r="ES74" s="99">
        <v>12.703914634146299</v>
      </c>
      <c r="ET74" s="99">
        <v>12.7529512195122</v>
      </c>
      <c r="EU74" s="99">
        <v>12.801987804877999</v>
      </c>
      <c r="EV74" s="99">
        <v>12.8510243902439</v>
      </c>
      <c r="EW74" s="99">
        <v>12.900060975609801</v>
      </c>
      <c r="EX74" s="99">
        <v>12.9490975609756</v>
      </c>
      <c r="EY74" s="99">
        <v>12.998134146341499</v>
      </c>
      <c r="EZ74" s="99">
        <v>13.0471707317073</v>
      </c>
      <c r="FA74" s="99">
        <v>13.096207317073199</v>
      </c>
      <c r="FB74" s="99">
        <v>13.145243902439001</v>
      </c>
      <c r="FC74" s="99">
        <v>13.1942804878049</v>
      </c>
      <c r="FD74" s="99">
        <v>13.243317073170701</v>
      </c>
      <c r="FE74" s="99">
        <v>13.2923536585366</v>
      </c>
      <c r="FF74" s="99">
        <v>13.341390243902399</v>
      </c>
      <c r="FG74" s="99">
        <v>13.3904268292683</v>
      </c>
      <c r="FH74" s="99">
        <v>13.439463414634099</v>
      </c>
      <c r="FI74" s="99">
        <v>13.4885</v>
      </c>
      <c r="FJ74" s="99">
        <v>13.537536585365901</v>
      </c>
      <c r="FK74" s="99">
        <v>13.5865731707317</v>
      </c>
      <c r="FL74" s="99">
        <v>13.635609756097599</v>
      </c>
      <c r="FM74" s="99">
        <v>13.684646341463401</v>
      </c>
      <c r="FN74" s="99">
        <v>13.733682926829299</v>
      </c>
      <c r="FO74" s="99">
        <v>13.782719512195101</v>
      </c>
      <c r="FP74" s="99">
        <v>13.831756097561</v>
      </c>
      <c r="FQ74" s="99">
        <v>13.880792682926799</v>
      </c>
      <c r="FR74" s="99">
        <v>13.9298292682927</v>
      </c>
      <c r="FS74" s="99">
        <v>13.978865853658499</v>
      </c>
      <c r="FT74" s="99">
        <v>14.0279024390244</v>
      </c>
      <c r="FU74" s="99">
        <v>14.0769390243902</v>
      </c>
      <c r="FV74" s="99">
        <v>14.1259756097561</v>
      </c>
      <c r="FW74" s="99">
        <v>14.175012195121999</v>
      </c>
      <c r="FX74" s="99">
        <v>14.2240487804878</v>
      </c>
      <c r="FY74" s="99">
        <v>14.273085365853699</v>
      </c>
      <c r="FZ74" s="99">
        <v>14.322121951219501</v>
      </c>
      <c r="GA74" s="99">
        <v>14.3711585365854</v>
      </c>
      <c r="GB74" s="99">
        <v>14.420195121951201</v>
      </c>
      <c r="GC74" s="99">
        <v>14.4692317073171</v>
      </c>
      <c r="GD74" s="99">
        <v>14.518268292682899</v>
      </c>
      <c r="GE74" s="99">
        <v>14.5673048780488</v>
      </c>
      <c r="GF74" s="99">
        <v>14.616341463414599</v>
      </c>
      <c r="GG74" s="99">
        <v>14.6653780487805</v>
      </c>
      <c r="GH74" s="99">
        <v>14.7144146341463</v>
      </c>
      <c r="GI74" s="99">
        <v>14.7634512195122</v>
      </c>
      <c r="GJ74" s="99">
        <v>14.812487804878</v>
      </c>
      <c r="GK74" s="99">
        <v>14.8615243902439</v>
      </c>
      <c r="GL74" s="99">
        <v>14.910560975609799</v>
      </c>
      <c r="GM74" s="99">
        <v>14.959597560975601</v>
      </c>
      <c r="GN74" s="99">
        <v>15.0086341463415</v>
      </c>
      <c r="GO74" s="99">
        <v>15.057670731707301</v>
      </c>
      <c r="GP74" s="99">
        <v>15.1067073170732</v>
      </c>
      <c r="GQ74" s="99">
        <v>15.155743902438999</v>
      </c>
      <c r="GR74" s="99">
        <v>15.2047804878049</v>
      </c>
      <c r="GS74" s="99">
        <v>15.253817073170699</v>
      </c>
      <c r="GT74" s="99">
        <v>15.3028536585366</v>
      </c>
      <c r="GU74" s="99">
        <v>15.3518902439024</v>
      </c>
      <c r="GV74" s="99">
        <v>15.4009268292683</v>
      </c>
      <c r="GW74" s="99">
        <v>15.4499634146341</v>
      </c>
      <c r="GX74" s="99">
        <v>15.499000000000001</v>
      </c>
      <c r="GY74" s="99">
        <v>15.548036585365899</v>
      </c>
      <c r="GZ74" s="99">
        <v>15.5970731707318</v>
      </c>
      <c r="HA74" s="99">
        <v>15.6461097560976</v>
      </c>
      <c r="HB74" s="99">
        <v>15.6951463414635</v>
      </c>
      <c r="HC74" s="99">
        <v>15.7441829268293</v>
      </c>
      <c r="HD74" s="99">
        <v>15.793219512195201</v>
      </c>
      <c r="HE74" s="99">
        <v>15.842256097561</v>
      </c>
      <c r="HF74" s="99">
        <v>15.891292682926901</v>
      </c>
      <c r="HG74" s="99">
        <v>15.9403292682927</v>
      </c>
      <c r="HH74" s="99">
        <v>15.989365853658599</v>
      </c>
      <c r="HI74" s="99">
        <v>16.038402439024399</v>
      </c>
      <c r="HJ74" s="99">
        <v>16.087439024390299</v>
      </c>
      <c r="HK74" s="99">
        <v>16.136475609756101</v>
      </c>
      <c r="HL74" s="99">
        <v>16.185512195122001</v>
      </c>
      <c r="HM74" s="99">
        <v>16.234548780487799</v>
      </c>
      <c r="HN74" s="99">
        <v>16.2835853658537</v>
      </c>
      <c r="HO74" s="99">
        <v>16.3326219512196</v>
      </c>
      <c r="HP74" s="99">
        <v>16.381658536585402</v>
      </c>
      <c r="HQ74" s="99">
        <v>16.430695121951299</v>
      </c>
      <c r="HR74" s="99">
        <v>16.4797317073171</v>
      </c>
      <c r="HS74" s="99">
        <v>16.528768292683001</v>
      </c>
      <c r="HT74" s="99">
        <v>16.577804878048799</v>
      </c>
      <c r="HU74" s="99">
        <v>16.626841463414699</v>
      </c>
      <c r="HV74" s="99">
        <v>16.675878048780501</v>
      </c>
      <c r="HW74" s="99">
        <v>16.724914634146401</v>
      </c>
      <c r="HX74" s="99">
        <v>16.773951219512199</v>
      </c>
      <c r="HY74" s="99">
        <v>16.8229878048781</v>
      </c>
      <c r="HZ74" s="99">
        <v>16.872024390243901</v>
      </c>
      <c r="IA74" s="99">
        <v>16.921060975609802</v>
      </c>
      <c r="IB74" s="99">
        <v>16.970097560975699</v>
      </c>
      <c r="IC74" s="99">
        <v>17.0191341463415</v>
      </c>
      <c r="ID74" s="99">
        <v>17.068170731707401</v>
      </c>
      <c r="IE74" s="99">
        <v>17.117207317073198</v>
      </c>
      <c r="IF74" s="99">
        <v>17.166243902439099</v>
      </c>
      <c r="IG74" s="99">
        <v>17.2152804878049</v>
      </c>
      <c r="IH74" s="99">
        <v>17.264317073170801</v>
      </c>
      <c r="II74" s="99">
        <v>17.313353658536599</v>
      </c>
      <c r="IJ74" s="99">
        <v>17.3623902439025</v>
      </c>
      <c r="IK74" s="99">
        <v>17.411426829268301</v>
      </c>
      <c r="IL74" s="99">
        <v>17.460463414634201</v>
      </c>
      <c r="IM74" s="99">
        <v>17.509499999999999</v>
      </c>
      <c r="IN74" s="99">
        <v>17.5585365853659</v>
      </c>
      <c r="IO74" s="99">
        <v>17.607573170731801</v>
      </c>
      <c r="IP74" s="99">
        <v>17.656609756097598</v>
      </c>
      <c r="IQ74" s="99">
        <v>17.705646341463499</v>
      </c>
      <c r="IR74" s="99">
        <v>17.7546829268293</v>
      </c>
      <c r="IS74" s="99">
        <v>17.803719512195201</v>
      </c>
      <c r="IT74" s="99">
        <v>17.852756097560999</v>
      </c>
      <c r="IU74" s="99">
        <v>17.901792682926899</v>
      </c>
      <c r="IV74" s="99">
        <v>17.950829268292701</v>
      </c>
      <c r="IW74" s="99">
        <v>17.999865853658601</v>
      </c>
      <c r="IX74" s="99">
        <v>18.048902439024399</v>
      </c>
      <c r="IY74" s="99">
        <v>18.0979390243903</v>
      </c>
      <c r="IZ74" s="99">
        <v>18.146975609756101</v>
      </c>
      <c r="JA74" s="99">
        <v>18.196012195122002</v>
      </c>
      <c r="JB74" s="99">
        <v>18.245048780487799</v>
      </c>
      <c r="JC74" s="99">
        <v>18.2940853658537</v>
      </c>
      <c r="JD74" s="99">
        <v>18.343121951219601</v>
      </c>
      <c r="JE74" s="99">
        <v>18.392158536585399</v>
      </c>
      <c r="JF74" s="99">
        <v>18.441195121951299</v>
      </c>
      <c r="JG74" s="99">
        <v>18.490231707317101</v>
      </c>
      <c r="JH74" s="99">
        <v>18.539268292683001</v>
      </c>
      <c r="JI74" s="99">
        <v>18.588304878048799</v>
      </c>
      <c r="JJ74" s="99">
        <v>18.6373414634147</v>
      </c>
      <c r="JK74" s="99">
        <v>18.686378048780501</v>
      </c>
      <c r="JL74" s="99">
        <v>18.735414634146402</v>
      </c>
      <c r="JM74" s="99">
        <v>18.784451219512199</v>
      </c>
      <c r="JN74" s="99">
        <v>18.8334878048781</v>
      </c>
      <c r="JO74" s="99">
        <v>18.882524390243901</v>
      </c>
      <c r="JP74" s="99">
        <v>18.931560975609798</v>
      </c>
      <c r="JQ74" s="99">
        <v>18.980597560975699</v>
      </c>
      <c r="JR74" s="99">
        <v>19.0296341463415</v>
      </c>
      <c r="JS74" s="99">
        <v>19.078670731707401</v>
      </c>
      <c r="JT74" s="99">
        <v>19.127707317073199</v>
      </c>
      <c r="JU74" s="99">
        <v>19.1767439024391</v>
      </c>
      <c r="JV74" s="99">
        <v>19.225780487804901</v>
      </c>
      <c r="JW74" s="99">
        <v>19.274817073170802</v>
      </c>
      <c r="JX74" s="99">
        <v>19.323853658536599</v>
      </c>
      <c r="JY74" s="99">
        <v>19.3728902439025</v>
      </c>
      <c r="JZ74" s="99">
        <v>19.421926829268301</v>
      </c>
      <c r="KA74" s="99">
        <v>19.470963414634198</v>
      </c>
      <c r="KB74" s="99">
        <v>19.52</v>
      </c>
      <c r="KC74" s="99">
        <v>19.5690365853659</v>
      </c>
      <c r="KD74" s="99">
        <v>19.618073170731801</v>
      </c>
      <c r="KE74" s="99">
        <v>19.667109756097599</v>
      </c>
      <c r="KF74" s="99">
        <v>19.716146341463499</v>
      </c>
      <c r="KG74" s="99">
        <v>19.765182926829301</v>
      </c>
      <c r="KH74" s="99">
        <v>19.814219512195201</v>
      </c>
      <c r="KI74" s="99">
        <v>19.863256097560999</v>
      </c>
      <c r="KJ74" s="99">
        <v>19.9122926829269</v>
      </c>
      <c r="KK74" s="99">
        <v>19.961329268292701</v>
      </c>
      <c r="KL74" s="99">
        <v>20.010365853658602</v>
      </c>
      <c r="KM74" s="99">
        <v>20.059402439024399</v>
      </c>
      <c r="KN74" s="99">
        <v>20.1084390243903</v>
      </c>
      <c r="KO74" s="99">
        <v>20.157475609756101</v>
      </c>
      <c r="KP74" s="99">
        <v>20.206512195121999</v>
      </c>
      <c r="KQ74" s="99">
        <v>20.255548780487899</v>
      </c>
      <c r="KR74" s="99">
        <v>20.304585365853701</v>
      </c>
      <c r="KS74" s="99">
        <v>20.353621951219601</v>
      </c>
      <c r="KT74" s="99">
        <v>20.402658536585399</v>
      </c>
      <c r="KU74" s="99">
        <v>20.4516951219513</v>
      </c>
      <c r="KV74" s="99">
        <v>20.500731707317101</v>
      </c>
      <c r="KW74" s="99">
        <v>20.549768292683002</v>
      </c>
      <c r="KX74" s="99">
        <v>20.598804878048799</v>
      </c>
      <c r="KY74" s="99">
        <v>20.6478414634147</v>
      </c>
      <c r="KZ74" s="99">
        <v>20.696878048780501</v>
      </c>
      <c r="LA74" s="99">
        <v>20.745914634146398</v>
      </c>
      <c r="LB74" s="99">
        <v>20.7949512195122</v>
      </c>
      <c r="LC74" s="99">
        <v>20.8439878048781</v>
      </c>
      <c r="LD74" s="99">
        <v>20.893024390243902</v>
      </c>
      <c r="LE74" s="99">
        <v>20.942060975609799</v>
      </c>
      <c r="LF74" s="99">
        <v>20.9910975609757</v>
      </c>
      <c r="LG74" s="99">
        <v>21.040134146341501</v>
      </c>
      <c r="LH74" s="99">
        <v>21.089170731707402</v>
      </c>
      <c r="LI74" s="99">
        <v>21.138207317073199</v>
      </c>
      <c r="LJ74" s="99">
        <v>21.1872439024391</v>
      </c>
      <c r="LK74" s="99">
        <v>21.236280487804901</v>
      </c>
      <c r="LL74" s="99">
        <v>21.285317073170798</v>
      </c>
      <c r="LM74" s="99">
        <v>21.3343536585366</v>
      </c>
      <c r="LN74" s="99">
        <v>21.3833902439025</v>
      </c>
      <c r="LO74" s="99">
        <v>21.432426829268302</v>
      </c>
      <c r="LP74" s="99">
        <v>21.481463414634199</v>
      </c>
      <c r="LQ74" s="99">
        <v>21.5305</v>
      </c>
      <c r="LR74" s="99">
        <v>21.579536585365901</v>
      </c>
      <c r="LS74" s="99">
        <v>21.628573170731801</v>
      </c>
      <c r="LT74" s="99">
        <v>21.677609756097599</v>
      </c>
      <c r="LU74" s="99">
        <v>21.7266463414635</v>
      </c>
      <c r="LV74" s="99">
        <v>21.775682926829301</v>
      </c>
      <c r="LW74" s="99">
        <v>21.824719512195198</v>
      </c>
      <c r="LX74" s="99">
        <v>21.8737560975609</v>
      </c>
      <c r="LY74" s="99">
        <v>21.9227926829269</v>
      </c>
      <c r="LZ74" s="99">
        <v>21.971829268292701</v>
      </c>
      <c r="MA74" s="99">
        <v>22.020865853658599</v>
      </c>
      <c r="MB74" s="99">
        <v>22.0699024390244</v>
      </c>
      <c r="MC74" s="99">
        <v>22.118939024390301</v>
      </c>
      <c r="MD74" s="99">
        <v>22.167975609756098</v>
      </c>
      <c r="ME74" s="99">
        <v>22.217012195121999</v>
      </c>
      <c r="MF74" s="99">
        <v>22.2660487804878</v>
      </c>
      <c r="MG74" s="99">
        <v>22.315085365853701</v>
      </c>
      <c r="MH74" s="99">
        <v>22.364121951219602</v>
      </c>
      <c r="MI74" s="99">
        <v>22.4131585365853</v>
      </c>
      <c r="MJ74" s="99">
        <v>22.4621951219513</v>
      </c>
      <c r="MK74" s="99">
        <v>22.511231707317101</v>
      </c>
      <c r="ML74" s="99">
        <v>22.560268292682998</v>
      </c>
      <c r="MM74" s="99">
        <v>22.6093048780488</v>
      </c>
      <c r="MN74" s="99">
        <v>22.6583414634147</v>
      </c>
      <c r="MO74" s="99">
        <v>22.707378048780502</v>
      </c>
      <c r="MP74" s="99">
        <v>22.756414634146399</v>
      </c>
      <c r="MQ74" s="99">
        <v>22.8054512195122</v>
      </c>
      <c r="MR74" s="99">
        <v>22.854487804878101</v>
      </c>
      <c r="MS74" s="99">
        <v>22.903524390243899</v>
      </c>
      <c r="MT74" s="99">
        <v>22.952560975609799</v>
      </c>
      <c r="MU74" s="99">
        <v>23.0015975609757</v>
      </c>
      <c r="MV74" s="99">
        <v>23.050634146341501</v>
      </c>
      <c r="MW74" s="99">
        <v>23.099670731707398</v>
      </c>
      <c r="MX74" s="99">
        <v>23.1487073170732</v>
      </c>
      <c r="MY74" s="99">
        <v>23.1977439024391</v>
      </c>
      <c r="MZ74" s="99">
        <v>23.246780487804902</v>
      </c>
      <c r="NA74" s="99">
        <v>23.295817073170799</v>
      </c>
      <c r="NB74" s="99">
        <v>23.3448536585366</v>
      </c>
      <c r="NC74" s="99">
        <v>23.393890243902501</v>
      </c>
      <c r="ND74" s="99">
        <v>23.442926829268298</v>
      </c>
      <c r="NE74" s="99">
        <v>23.491963414634199</v>
      </c>
      <c r="NF74" s="99">
        <v>23.541</v>
      </c>
      <c r="NG74" s="99">
        <v>23.590036585365901</v>
      </c>
      <c r="NH74" s="99">
        <v>23.639073170731798</v>
      </c>
      <c r="NI74" s="99">
        <v>23.6881097560976</v>
      </c>
      <c r="NJ74" s="99">
        <v>23.7371463414635</v>
      </c>
      <c r="NK74" s="99">
        <v>23.786182926829301</v>
      </c>
      <c r="NL74" s="99">
        <v>23.835219512195199</v>
      </c>
      <c r="NM74" s="99">
        <v>23.884256097561</v>
      </c>
      <c r="NN74" s="99">
        <v>23.933292682926901</v>
      </c>
      <c r="NO74" s="99">
        <v>23.982329268292698</v>
      </c>
      <c r="NP74" s="99">
        <v>24.031365853658599</v>
      </c>
      <c r="NQ74" s="99">
        <v>24.0804024390244</v>
      </c>
      <c r="NR74" s="99">
        <v>24.129439024390301</v>
      </c>
      <c r="NS74" s="99">
        <v>24.178475609756099</v>
      </c>
      <c r="NT74" s="99">
        <v>24.227512195121999</v>
      </c>
      <c r="NU74" s="99">
        <v>24.276548780487801</v>
      </c>
      <c r="NV74" s="99">
        <v>24.325585365853701</v>
      </c>
      <c r="NW74" s="99">
        <v>24.374621951219599</v>
      </c>
      <c r="NX74" s="99">
        <v>24.4236585365854</v>
      </c>
      <c r="NY74" s="99">
        <v>24.4726951219513</v>
      </c>
      <c r="NZ74" s="99">
        <v>24.521731707317102</v>
      </c>
      <c r="OA74" s="99">
        <v>24.570768292682999</v>
      </c>
      <c r="OB74" s="99">
        <v>24.6198048780488</v>
      </c>
      <c r="OC74" s="99">
        <v>24.668841463414701</v>
      </c>
      <c r="OD74" s="99">
        <v>24.717878048780499</v>
      </c>
      <c r="OE74" s="99">
        <v>24.766914634146399</v>
      </c>
      <c r="OF74" s="99">
        <v>24.815951219512201</v>
      </c>
      <c r="OG74" s="99">
        <v>24.864987804878101</v>
      </c>
      <c r="OH74" s="99">
        <v>24.914024390243899</v>
      </c>
      <c r="OI74" s="99">
        <v>24.9630609756097</v>
      </c>
      <c r="OJ74" s="99">
        <v>25.0120975609757</v>
      </c>
      <c r="OK74" s="99">
        <v>25.061134146341502</v>
      </c>
      <c r="OL74" s="99">
        <v>25.110170731707399</v>
      </c>
      <c r="OM74" s="99">
        <v>25.1592073170732</v>
      </c>
      <c r="ON74" s="99">
        <v>25.208243902439101</v>
      </c>
      <c r="OO74" s="99">
        <v>25.257280487804898</v>
      </c>
      <c r="OP74" s="99">
        <v>25.306317073170799</v>
      </c>
      <c r="OQ74" s="99">
        <v>25.3553536585366</v>
      </c>
      <c r="OR74" s="99">
        <v>25.404390243902501</v>
      </c>
      <c r="OS74" s="99">
        <v>25.453426829268299</v>
      </c>
      <c r="OT74" s="99">
        <v>25.5024634146341</v>
      </c>
      <c r="OU74" s="99">
        <v>25.551500000000001</v>
      </c>
      <c r="OV74" s="99">
        <v>25.600536585365901</v>
      </c>
      <c r="OW74" s="99">
        <v>25.649573170731799</v>
      </c>
      <c r="OX74" s="99">
        <v>25.6986097560976</v>
      </c>
      <c r="OY74" s="99">
        <v>25.747646341463501</v>
      </c>
      <c r="OZ74" s="99">
        <v>25.796682926829298</v>
      </c>
      <c r="PA74" s="99">
        <v>25.845719512195199</v>
      </c>
      <c r="PB74" s="99">
        <v>25.894756097561</v>
      </c>
      <c r="PC74" s="99">
        <v>25.943792682926901</v>
      </c>
      <c r="PD74" s="99">
        <v>25.992829268292699</v>
      </c>
      <c r="PE74" s="99">
        <v>26.0418658536585</v>
      </c>
      <c r="PF74" s="99">
        <v>26.090902439024401</v>
      </c>
      <c r="PG74" s="99">
        <v>26.139939024390301</v>
      </c>
      <c r="PH74" s="99">
        <v>26.188975609756099</v>
      </c>
      <c r="PI74" s="99">
        <v>26.238012195122</v>
      </c>
      <c r="PJ74" s="99">
        <v>26.287048780487801</v>
      </c>
      <c r="PK74" s="99">
        <v>26.336085365853702</v>
      </c>
      <c r="PL74" s="99">
        <v>26.385121951219599</v>
      </c>
      <c r="PM74" s="99">
        <v>26.4341585365854</v>
      </c>
      <c r="PN74" s="99">
        <v>26.483195121951301</v>
      </c>
      <c r="PO74" s="99">
        <v>26.532231707317099</v>
      </c>
      <c r="PP74" s="99">
        <v>26.5812682926829</v>
      </c>
      <c r="PQ74" s="99">
        <v>26.630304878048801</v>
      </c>
      <c r="PR74" s="99">
        <v>26.679341463414701</v>
      </c>
      <c r="PS74" s="99">
        <v>26.728378048780499</v>
      </c>
      <c r="PT74" s="99">
        <v>26.7774146341464</v>
      </c>
      <c r="PU74" s="99">
        <v>26.826451219512201</v>
      </c>
      <c r="PV74" s="99">
        <v>26.875487804878102</v>
      </c>
      <c r="PW74" s="99">
        <v>26.924524390243899</v>
      </c>
      <c r="PX74" s="99">
        <v>26.9735609756098</v>
      </c>
      <c r="PY74" s="99">
        <v>27.022597560975701</v>
      </c>
      <c r="PZ74" s="99">
        <v>27.071634146341498</v>
      </c>
      <c r="QA74" s="99">
        <v>27.120670731707399</v>
      </c>
      <c r="QB74" s="99">
        <v>27.1697073170732</v>
      </c>
      <c r="QC74" s="99">
        <v>27.218743902439101</v>
      </c>
      <c r="QD74" s="99">
        <v>27.267780487804899</v>
      </c>
      <c r="QE74" s="99">
        <v>27.3168170731708</v>
      </c>
      <c r="QF74" s="99">
        <v>27.365853658536601</v>
      </c>
      <c r="QG74" s="99">
        <v>27.414890243902502</v>
      </c>
      <c r="QH74" s="99">
        <v>27.463926829268299</v>
      </c>
      <c r="QI74" s="99">
        <v>27.5129634146342</v>
      </c>
      <c r="QJ74" s="99">
        <v>27.562000000000001</v>
      </c>
      <c r="QK74" s="99">
        <v>27.611036585365898</v>
      </c>
      <c r="QL74" s="99">
        <v>27.660073170731799</v>
      </c>
      <c r="QM74" s="99">
        <v>27.7091097560976</v>
      </c>
      <c r="QN74" s="99">
        <v>27.758146341463501</v>
      </c>
      <c r="QO74" s="99">
        <v>27.807182926829299</v>
      </c>
      <c r="QP74" s="99">
        <v>27.856219512195199</v>
      </c>
      <c r="QQ74" s="99">
        <v>27.905256097561001</v>
      </c>
      <c r="QR74" s="99">
        <v>27.954292682926901</v>
      </c>
      <c r="QS74" s="99">
        <v>28.003329268292699</v>
      </c>
      <c r="QT74" s="99">
        <v>28.0523658536586</v>
      </c>
      <c r="QU74" s="99">
        <v>28.101402439024401</v>
      </c>
      <c r="QV74" s="99">
        <v>28.150439024390302</v>
      </c>
      <c r="QW74" s="99">
        <v>28.199475609756</v>
      </c>
      <c r="QX74" s="99">
        <v>28.248512195122</v>
      </c>
      <c r="QY74" s="99">
        <v>28.297548780487901</v>
      </c>
      <c r="QZ74" s="99">
        <v>28.346585365853699</v>
      </c>
      <c r="RA74" s="99">
        <v>28.395621951219599</v>
      </c>
      <c r="RB74" s="99">
        <v>28.444658536585401</v>
      </c>
      <c r="RC74" s="99">
        <v>28.493695121951301</v>
      </c>
      <c r="RD74" s="99">
        <v>28.542731707317099</v>
      </c>
      <c r="RE74" s="99">
        <v>28.5917682926829</v>
      </c>
      <c r="RF74" s="99">
        <v>28.640804878048801</v>
      </c>
      <c r="RG74" s="99">
        <v>28.689841463414702</v>
      </c>
      <c r="RH74" s="99">
        <v>28.7388780487804</v>
      </c>
      <c r="RI74" s="99">
        <v>28.7879146341464</v>
      </c>
      <c r="RJ74" s="99">
        <v>28.836951219512201</v>
      </c>
      <c r="RK74" s="99">
        <v>28.885987804878098</v>
      </c>
      <c r="RL74" s="99">
        <v>28.9350243902439</v>
      </c>
      <c r="RM74" s="99">
        <v>28.9840609756098</v>
      </c>
      <c r="RN74" s="99">
        <v>29.033097560975701</v>
      </c>
      <c r="RO74" s="99">
        <v>29.082134146341499</v>
      </c>
      <c r="RP74" s="99">
        <v>29.1311707317073</v>
      </c>
      <c r="RQ74" s="99">
        <v>29.180207317073201</v>
      </c>
      <c r="RR74" s="99">
        <v>29.229243902439102</v>
      </c>
      <c r="RS74" s="99">
        <v>29.278280487804899</v>
      </c>
      <c r="RT74" s="99">
        <v>29.3273170731708</v>
      </c>
      <c r="RU74" s="99">
        <v>29.376353658536601</v>
      </c>
      <c r="RV74" s="99">
        <v>29.425390243902498</v>
      </c>
      <c r="RW74" s="99">
        <v>29.4744268292683</v>
      </c>
      <c r="RX74" s="99">
        <v>29.5234634146342</v>
      </c>
      <c r="RY74" s="99">
        <v>29.572500000000002</v>
      </c>
      <c r="RZ74" s="99">
        <v>29.621536585365899</v>
      </c>
      <c r="SA74" s="99">
        <v>29.6705731707317</v>
      </c>
      <c r="SB74" s="99">
        <v>29.719609756097601</v>
      </c>
      <c r="SC74" s="99">
        <v>29.768646341463501</v>
      </c>
      <c r="SD74" s="99">
        <v>29.817682926829299</v>
      </c>
      <c r="SE74" s="99">
        <v>29.8667195121952</v>
      </c>
      <c r="SF74" s="99">
        <v>29.915756097561001</v>
      </c>
      <c r="SG74" s="99">
        <v>29.964792682926898</v>
      </c>
      <c r="SH74" s="99">
        <v>30.013829268292699</v>
      </c>
      <c r="SI74" s="99">
        <v>30.0628658536586</v>
      </c>
      <c r="SJ74" s="99">
        <v>30.111902439024401</v>
      </c>
      <c r="SK74" s="99">
        <v>30.160939024390299</v>
      </c>
      <c r="SL74" s="99">
        <v>30.2099756097561</v>
      </c>
      <c r="SM74" s="99">
        <v>30.259012195122001</v>
      </c>
      <c r="SN74" s="99">
        <v>30.308048780487798</v>
      </c>
      <c r="SO74" s="99">
        <v>30.357085365853699</v>
      </c>
      <c r="SP74" s="99">
        <v>30.4061219512196</v>
      </c>
      <c r="SQ74" s="99">
        <v>30.455158536585401</v>
      </c>
      <c r="SR74" s="99">
        <v>30.504195121951302</v>
      </c>
      <c r="SS74" s="99">
        <v>30.553231707317099</v>
      </c>
      <c r="ST74" s="99">
        <v>30.602268292683</v>
      </c>
      <c r="SU74" s="99">
        <v>30.651304878048801</v>
      </c>
      <c r="SV74" s="99">
        <v>30.700341463414698</v>
      </c>
      <c r="SW74" s="99">
        <v>30.7493780487805</v>
      </c>
      <c r="SX74" s="99">
        <v>30.7984146341464</v>
      </c>
      <c r="SY74" s="99">
        <v>30.847451219512202</v>
      </c>
      <c r="SZ74" s="99">
        <v>30.896487804878099</v>
      </c>
      <c r="TA74" s="99">
        <v>30.9455243902439</v>
      </c>
      <c r="TB74" s="99">
        <v>30.994560975609801</v>
      </c>
      <c r="TC74" s="99">
        <v>31.043597560975702</v>
      </c>
      <c r="TD74" s="99">
        <v>31.092634146341499</v>
      </c>
      <c r="TE74" s="99">
        <v>31.1416707317074</v>
      </c>
      <c r="TF74" s="99">
        <v>31.190707317073201</v>
      </c>
      <c r="TG74" s="99">
        <v>31.239743902439098</v>
      </c>
      <c r="TH74" s="99">
        <v>31.2887804878048</v>
      </c>
      <c r="TI74" s="99">
        <v>31.3378170731708</v>
      </c>
      <c r="TJ74" s="99">
        <v>31.386853658536602</v>
      </c>
      <c r="TK74" s="99">
        <v>31.435890243902499</v>
      </c>
      <c r="TL74" s="99">
        <v>31.4849268292683</v>
      </c>
      <c r="TM74" s="99">
        <v>31.533963414634201</v>
      </c>
      <c r="TN74" s="99">
        <v>31.582999999999998</v>
      </c>
      <c r="TO74" s="99">
        <v>31.632036585365899</v>
      </c>
      <c r="TP74" s="99">
        <v>31.6810731707318</v>
      </c>
      <c r="TQ74" s="99">
        <v>31.730109756097601</v>
      </c>
      <c r="TR74" s="99">
        <v>31.779146341463498</v>
      </c>
      <c r="TS74" s="99">
        <v>31.8281829268292</v>
      </c>
      <c r="TT74" s="99">
        <v>31.8772195121952</v>
      </c>
      <c r="TU74" s="99">
        <v>31.926256097561001</v>
      </c>
      <c r="TV74" s="99">
        <v>31.975292682926899</v>
      </c>
      <c r="TW74" s="99">
        <v>32.024329268292703</v>
      </c>
      <c r="TX74" s="99">
        <v>32.073365853658601</v>
      </c>
      <c r="TY74" s="99">
        <v>32.122402439024398</v>
      </c>
      <c r="TZ74" s="99">
        <v>32.171439024390303</v>
      </c>
      <c r="UA74" s="99">
        <v>32.2204756097561</v>
      </c>
      <c r="UB74" s="99">
        <v>32.269512195121997</v>
      </c>
      <c r="UC74" s="99">
        <v>32.318548780487802</v>
      </c>
      <c r="UD74" s="99">
        <v>32.3675853658536</v>
      </c>
      <c r="UE74" s="99">
        <v>32.416621951219597</v>
      </c>
      <c r="UF74" s="99">
        <v>32.465658536585401</v>
      </c>
      <c r="UG74" s="99">
        <v>32.514695121951299</v>
      </c>
      <c r="UH74" s="99">
        <v>32.563731707317103</v>
      </c>
      <c r="UI74" s="99">
        <v>32.612768292683</v>
      </c>
      <c r="UJ74" s="99">
        <v>32.661804878048798</v>
      </c>
      <c r="UK74" s="99">
        <v>32.710841463414702</v>
      </c>
      <c r="UL74" s="99">
        <v>32.7598780487805</v>
      </c>
      <c r="UM74" s="99">
        <v>32.808914634146397</v>
      </c>
      <c r="UN74" s="99">
        <v>32.857951219512202</v>
      </c>
      <c r="UO74" s="99">
        <v>32.906987804878099</v>
      </c>
      <c r="UP74" s="99">
        <v>32.956024390243897</v>
      </c>
      <c r="UQ74" s="99">
        <v>33.005060975609801</v>
      </c>
      <c r="UR74" s="99">
        <v>33.054097560975698</v>
      </c>
      <c r="US74" s="99">
        <v>33.103134146341603</v>
      </c>
      <c r="UT74" s="99">
        <v>33.1521707317074</v>
      </c>
    </row>
    <row r="75" spans="1:566" x14ac:dyDescent="0.2">
      <c r="A75" s="89">
        <v>34.5</v>
      </c>
      <c r="B75" s="90">
        <v>5.45</v>
      </c>
      <c r="C75" s="90">
        <v>5.5</v>
      </c>
      <c r="D75" s="90">
        <v>5.55</v>
      </c>
      <c r="E75" s="90">
        <v>5.59</v>
      </c>
      <c r="F75" s="90">
        <v>5.64</v>
      </c>
      <c r="G75" s="90">
        <v>5.69</v>
      </c>
      <c r="H75" s="90">
        <v>5.74</v>
      </c>
      <c r="I75" s="90">
        <v>5.79</v>
      </c>
      <c r="J75" s="90">
        <v>5.84</v>
      </c>
      <c r="K75" s="90">
        <v>5.89</v>
      </c>
      <c r="L75" s="90">
        <v>5.94</v>
      </c>
      <c r="M75" s="90">
        <v>5.98</v>
      </c>
      <c r="N75" s="90">
        <v>6.03</v>
      </c>
      <c r="O75" s="90">
        <v>6.08</v>
      </c>
      <c r="P75" s="90">
        <v>6.13</v>
      </c>
      <c r="Q75" s="90">
        <v>6.18</v>
      </c>
      <c r="R75" s="90">
        <v>6.23</v>
      </c>
      <c r="S75" s="90">
        <v>6.28</v>
      </c>
      <c r="T75" s="90">
        <v>6.32</v>
      </c>
      <c r="U75" s="91">
        <v>6.37</v>
      </c>
      <c r="V75" s="90">
        <v>6.42</v>
      </c>
      <c r="W75" s="90">
        <v>6.47</v>
      </c>
      <c r="X75" s="90">
        <v>6.52</v>
      </c>
      <c r="Y75" s="90">
        <v>6.57</v>
      </c>
      <c r="Z75" s="90">
        <v>6.62</v>
      </c>
      <c r="AA75" s="90">
        <v>6.67</v>
      </c>
      <c r="AB75" s="90">
        <v>6.71</v>
      </c>
      <c r="AC75" s="90">
        <v>6.76</v>
      </c>
      <c r="AD75" s="90">
        <v>6.81</v>
      </c>
      <c r="AE75" s="90">
        <v>6.86</v>
      </c>
      <c r="AF75" s="90">
        <v>6.91</v>
      </c>
      <c r="AG75" s="90">
        <v>6.96</v>
      </c>
      <c r="AH75" s="90">
        <v>7.01</v>
      </c>
      <c r="AI75" s="90">
        <v>7.06</v>
      </c>
      <c r="AJ75" s="90">
        <v>7.1</v>
      </c>
      <c r="AK75" s="90">
        <v>7.15</v>
      </c>
      <c r="AL75" s="90">
        <v>7.2</v>
      </c>
      <c r="AM75" s="90">
        <v>7.25</v>
      </c>
      <c r="AN75" s="90">
        <v>7.3</v>
      </c>
      <c r="AO75" s="91">
        <v>7.35</v>
      </c>
      <c r="AP75" s="90">
        <v>7.39619230769231</v>
      </c>
      <c r="AQ75" s="90">
        <v>7.4448846153846198</v>
      </c>
      <c r="AR75" s="90">
        <v>7.4935769230769198</v>
      </c>
      <c r="AS75" s="90">
        <v>7.5422692307692296</v>
      </c>
      <c r="AT75" s="90">
        <v>7.5909615384615403</v>
      </c>
      <c r="AU75" s="90">
        <v>7.6396538461538501</v>
      </c>
      <c r="AV75" s="90">
        <v>7.6883461538461502</v>
      </c>
      <c r="AW75" s="90">
        <v>7.73703846153846</v>
      </c>
      <c r="AX75" s="90">
        <v>7.7857307692307698</v>
      </c>
      <c r="AY75" s="90">
        <v>7.8344230769230796</v>
      </c>
      <c r="AZ75" s="90">
        <v>7.8831153846153796</v>
      </c>
      <c r="BA75" s="90">
        <v>7.9318076923076903</v>
      </c>
      <c r="BB75" s="90">
        <v>7.9805000000000001</v>
      </c>
      <c r="BC75" s="90">
        <v>8.0291923076923108</v>
      </c>
      <c r="BD75" s="90">
        <v>8.0778846153846207</v>
      </c>
      <c r="BE75" s="90">
        <v>8.1265769230769198</v>
      </c>
      <c r="BF75" s="90">
        <v>8.1752692307692296</v>
      </c>
      <c r="BG75" s="90">
        <v>8.2239615384615394</v>
      </c>
      <c r="BH75" s="90">
        <v>8.2726538461538492</v>
      </c>
      <c r="BI75" s="91">
        <v>8.3213461538461502</v>
      </c>
      <c r="BJ75" s="90">
        <v>8.37003846153846</v>
      </c>
      <c r="BK75" s="99">
        <v>8.4187307692307698</v>
      </c>
      <c r="BL75" s="99">
        <v>8.4674230769230796</v>
      </c>
      <c r="BM75" s="99">
        <v>8.5161153846153894</v>
      </c>
      <c r="BN75" s="99">
        <v>8.5648076923076903</v>
      </c>
      <c r="BO75" s="99">
        <v>8.6135000000000002</v>
      </c>
      <c r="BP75" s="99">
        <v>8.66219230769231</v>
      </c>
      <c r="BQ75" s="99">
        <v>8.7108846153846198</v>
      </c>
      <c r="BR75" s="99">
        <v>8.7595769230769207</v>
      </c>
      <c r="BS75" s="99">
        <v>8.8082692307692305</v>
      </c>
      <c r="BT75" s="99">
        <v>8.8569615384615403</v>
      </c>
      <c r="BU75" s="99">
        <v>8.9056538461538501</v>
      </c>
      <c r="BV75" s="99">
        <v>8.9543461538461493</v>
      </c>
      <c r="BW75" s="99">
        <v>9.0030384615384609</v>
      </c>
      <c r="BX75" s="99">
        <v>9.0517307692307707</v>
      </c>
      <c r="BY75" s="99">
        <v>9.1004230769230805</v>
      </c>
      <c r="BZ75" s="99">
        <v>9.1491153846153903</v>
      </c>
      <c r="CA75" s="99">
        <v>9.1978076923076895</v>
      </c>
      <c r="CB75" s="99">
        <v>9.2464999999999993</v>
      </c>
      <c r="CC75" s="99">
        <v>9.2951923076923109</v>
      </c>
      <c r="CD75" s="99">
        <v>9.3438846153846207</v>
      </c>
      <c r="CE75" s="99">
        <v>9.3925769230769198</v>
      </c>
      <c r="CF75" s="99">
        <v>9.4412692307692296</v>
      </c>
      <c r="CG75" s="99">
        <v>9.4899615384615394</v>
      </c>
      <c r="CH75" s="99">
        <v>9.5386538461538493</v>
      </c>
      <c r="CI75" s="99">
        <v>9.5873461538461502</v>
      </c>
      <c r="CJ75" s="99">
        <v>9.63603846153846</v>
      </c>
      <c r="CK75" s="99">
        <v>9.6847307692307698</v>
      </c>
      <c r="CL75" s="99">
        <v>9.7334230769230796</v>
      </c>
      <c r="CM75" s="99">
        <v>9.7821153846153894</v>
      </c>
      <c r="CN75" s="99">
        <v>9.8308076923076904</v>
      </c>
      <c r="CO75" s="99">
        <v>9.8795000000000002</v>
      </c>
      <c r="CP75" s="99">
        <v>9.92819230769231</v>
      </c>
      <c r="CQ75" s="99">
        <v>9.9768846153846198</v>
      </c>
      <c r="CR75" s="99">
        <v>10.025576923076899</v>
      </c>
      <c r="CS75" s="99">
        <v>10.0742692307692</v>
      </c>
      <c r="CT75" s="99">
        <v>10.122961538461499</v>
      </c>
      <c r="CU75" s="99">
        <v>10.1716538461539</v>
      </c>
      <c r="CV75" s="99">
        <v>10.220346153846201</v>
      </c>
      <c r="CW75" s="99">
        <v>10.2690384615385</v>
      </c>
      <c r="CX75" s="99">
        <v>10.317730769230799</v>
      </c>
      <c r="CY75" s="99">
        <v>10.3664230769231</v>
      </c>
      <c r="CZ75" s="99">
        <v>10.415115384615399</v>
      </c>
      <c r="DA75" s="99">
        <v>10.4638076923077</v>
      </c>
      <c r="DB75" s="99">
        <v>10.512499999999999</v>
      </c>
      <c r="DC75" s="99">
        <v>10.5611923076923</v>
      </c>
      <c r="DD75" s="99">
        <v>10.609884615384599</v>
      </c>
      <c r="DE75" s="99">
        <v>10.6585769230769</v>
      </c>
      <c r="DF75" s="99">
        <v>10.707269230769199</v>
      </c>
      <c r="DG75" s="99">
        <v>10.7559615384615</v>
      </c>
      <c r="DH75" s="99">
        <v>10.804653846153901</v>
      </c>
      <c r="DI75" s="99">
        <v>10.8533461538462</v>
      </c>
      <c r="DJ75" s="99">
        <v>10.902038461538501</v>
      </c>
      <c r="DK75" s="99">
        <v>10.9507307692308</v>
      </c>
      <c r="DL75" s="99">
        <v>10.999423076923099</v>
      </c>
      <c r="DM75" s="99">
        <v>11.0481153846154</v>
      </c>
      <c r="DN75" s="99">
        <v>11.096807692307699</v>
      </c>
      <c r="DO75" s="99">
        <v>11.1455</v>
      </c>
      <c r="DP75" s="99">
        <v>11.194192307692299</v>
      </c>
      <c r="DQ75" s="99">
        <v>11.2428846153846</v>
      </c>
      <c r="DR75" s="99">
        <v>11.291576923076899</v>
      </c>
      <c r="DS75" s="99">
        <v>11.3402692307692</v>
      </c>
      <c r="DT75" s="99">
        <v>11.3889615384615</v>
      </c>
      <c r="DU75" s="99">
        <v>11.4376538461539</v>
      </c>
      <c r="DV75" s="99">
        <v>11.486346153846201</v>
      </c>
      <c r="DW75" s="99">
        <v>11.5350384615385</v>
      </c>
      <c r="DX75" s="99">
        <v>11.583730769230799</v>
      </c>
      <c r="DY75" s="99">
        <v>11.6324230769231</v>
      </c>
      <c r="DZ75" s="99">
        <v>11.681115384615399</v>
      </c>
      <c r="EA75" s="99">
        <v>11.7298076923077</v>
      </c>
      <c r="EB75" s="99">
        <v>11.778499999999999</v>
      </c>
      <c r="EC75" s="99">
        <v>11.8271923076923</v>
      </c>
      <c r="ED75" s="99">
        <v>11.875884615384599</v>
      </c>
      <c r="EE75" s="99">
        <v>11.9245769230769</v>
      </c>
      <c r="EF75" s="99">
        <v>11.973269230769199</v>
      </c>
      <c r="EG75" s="99">
        <v>12.0219615384615</v>
      </c>
      <c r="EH75" s="99">
        <v>12.070653846153901</v>
      </c>
      <c r="EI75" s="99">
        <v>12.1193461538462</v>
      </c>
      <c r="EJ75" s="99">
        <v>12.168038461538501</v>
      </c>
      <c r="EK75" s="99">
        <v>12.2167307692308</v>
      </c>
      <c r="EL75" s="99">
        <v>12.265423076923099</v>
      </c>
      <c r="EM75" s="99">
        <v>12.3141153846154</v>
      </c>
      <c r="EN75" s="99">
        <v>12.362807692307699</v>
      </c>
      <c r="EO75" s="99">
        <v>12.4115</v>
      </c>
      <c r="EP75" s="99">
        <v>12.460192307692299</v>
      </c>
      <c r="EQ75" s="99">
        <v>12.5088846153846</v>
      </c>
      <c r="ER75" s="99">
        <v>12.557576923076899</v>
      </c>
      <c r="ES75" s="99">
        <v>12.6062692307692</v>
      </c>
      <c r="ET75" s="99">
        <v>12.6549615384615</v>
      </c>
      <c r="EU75" s="99">
        <v>12.7036538461539</v>
      </c>
      <c r="EV75" s="99">
        <v>12.752346153846201</v>
      </c>
      <c r="EW75" s="99">
        <v>12.8010384615385</v>
      </c>
      <c r="EX75" s="99">
        <v>12.849730769230799</v>
      </c>
      <c r="EY75" s="99">
        <v>12.8984230769231</v>
      </c>
      <c r="EZ75" s="99">
        <v>12.947115384615399</v>
      </c>
      <c r="FA75" s="99">
        <v>12.9958076923077</v>
      </c>
      <c r="FB75" s="99">
        <v>13.044499999999999</v>
      </c>
      <c r="FC75" s="99">
        <v>13.0931923076923</v>
      </c>
      <c r="FD75" s="99">
        <v>13.141884615384599</v>
      </c>
      <c r="FE75" s="99">
        <v>13.1905769230769</v>
      </c>
      <c r="FF75" s="99">
        <v>13.239269230769199</v>
      </c>
      <c r="FG75" s="99">
        <v>13.2879615384615</v>
      </c>
      <c r="FH75" s="99">
        <v>13.336653846153901</v>
      </c>
      <c r="FI75" s="99">
        <v>13.3853461538462</v>
      </c>
      <c r="FJ75" s="99">
        <v>13.434038461538499</v>
      </c>
      <c r="FK75" s="99">
        <v>13.4827307692308</v>
      </c>
      <c r="FL75" s="99">
        <v>13.531423076923099</v>
      </c>
      <c r="FM75" s="99">
        <v>13.5801153846154</v>
      </c>
      <c r="FN75" s="99">
        <v>13.628807692307699</v>
      </c>
      <c r="FO75" s="99">
        <v>13.6775</v>
      </c>
      <c r="FP75" s="99">
        <v>13.726192307692299</v>
      </c>
      <c r="FQ75" s="99">
        <v>13.7748846153846</v>
      </c>
      <c r="FR75" s="99">
        <v>13.823576923076899</v>
      </c>
      <c r="FS75" s="99">
        <v>13.8722692307692</v>
      </c>
      <c r="FT75" s="99">
        <v>13.9209615384615</v>
      </c>
      <c r="FU75" s="99">
        <v>13.9696538461539</v>
      </c>
      <c r="FV75" s="99">
        <v>14.018346153846201</v>
      </c>
      <c r="FW75" s="99">
        <v>14.0670384615385</v>
      </c>
      <c r="FX75" s="99">
        <v>14.115730769230799</v>
      </c>
      <c r="FY75" s="99">
        <v>14.1644230769231</v>
      </c>
      <c r="FZ75" s="99">
        <v>14.213115384615399</v>
      </c>
      <c r="GA75" s="99">
        <v>14.2618076923077</v>
      </c>
      <c r="GB75" s="99">
        <v>14.310499999999999</v>
      </c>
      <c r="GC75" s="99">
        <v>14.3591923076923</v>
      </c>
      <c r="GD75" s="99">
        <v>14.407884615384599</v>
      </c>
      <c r="GE75" s="99">
        <v>14.4565769230769</v>
      </c>
      <c r="GF75" s="99">
        <v>14.505269230769199</v>
      </c>
      <c r="GG75" s="99">
        <v>14.5539615384615</v>
      </c>
      <c r="GH75" s="99">
        <v>14.602653846153901</v>
      </c>
      <c r="GI75" s="99">
        <v>14.6513461538462</v>
      </c>
      <c r="GJ75" s="99">
        <v>14.700038461538499</v>
      </c>
      <c r="GK75" s="99">
        <v>14.7487307692308</v>
      </c>
      <c r="GL75" s="99">
        <v>14.797423076923099</v>
      </c>
      <c r="GM75" s="99">
        <v>14.8461153846154</v>
      </c>
      <c r="GN75" s="99">
        <v>14.894807692307699</v>
      </c>
      <c r="GO75" s="99">
        <v>14.9435</v>
      </c>
      <c r="GP75" s="99">
        <v>14.992192307692299</v>
      </c>
      <c r="GQ75" s="99">
        <v>15.0408846153846</v>
      </c>
      <c r="GR75" s="99">
        <v>15.089576923076899</v>
      </c>
      <c r="GS75" s="99">
        <v>15.1382692307692</v>
      </c>
      <c r="GT75" s="99">
        <v>15.1869615384615</v>
      </c>
      <c r="GU75" s="99">
        <v>15.2356538461539</v>
      </c>
      <c r="GV75" s="99">
        <v>15.284346153846201</v>
      </c>
      <c r="GW75" s="99">
        <v>15.3330384615385</v>
      </c>
      <c r="GX75" s="99">
        <v>15.381730769230799</v>
      </c>
      <c r="GY75" s="99">
        <v>15.4304230769231</v>
      </c>
      <c r="GZ75" s="99">
        <v>15.479115384615399</v>
      </c>
      <c r="HA75" s="99">
        <v>15.5278076923077</v>
      </c>
      <c r="HB75" s="99">
        <v>15.576499999999999</v>
      </c>
      <c r="HC75" s="99">
        <v>15.6251923076923</v>
      </c>
      <c r="HD75" s="99">
        <v>15.673884615384599</v>
      </c>
      <c r="HE75" s="99">
        <v>15.7225769230769</v>
      </c>
      <c r="HF75" s="99">
        <v>15.7712692307692</v>
      </c>
      <c r="HG75" s="99">
        <v>15.8199615384615</v>
      </c>
      <c r="HH75" s="99">
        <v>15.8686538461538</v>
      </c>
      <c r="HI75" s="99">
        <v>15.9173461538462</v>
      </c>
      <c r="HJ75" s="99">
        <v>15.966038461538499</v>
      </c>
      <c r="HK75" s="99">
        <v>16.014730769230798</v>
      </c>
      <c r="HL75" s="99">
        <v>16.063423076923101</v>
      </c>
      <c r="HM75" s="99">
        <v>16.1121153846154</v>
      </c>
      <c r="HN75" s="99">
        <v>16.160807692307699</v>
      </c>
      <c r="HO75" s="99">
        <v>16.209499999999998</v>
      </c>
      <c r="HP75" s="99">
        <v>16.258192307692301</v>
      </c>
      <c r="HQ75" s="99">
        <v>16.3068846153846</v>
      </c>
      <c r="HR75" s="99">
        <v>16.355576923076899</v>
      </c>
      <c r="HS75" s="99">
        <v>16.404269230769199</v>
      </c>
      <c r="HT75" s="99">
        <v>16.452961538461501</v>
      </c>
      <c r="HU75" s="99">
        <v>16.5016538461538</v>
      </c>
      <c r="HV75" s="99">
        <v>16.550346153846199</v>
      </c>
      <c r="HW75" s="99">
        <v>16.599038461538498</v>
      </c>
      <c r="HX75" s="99">
        <v>16.647730769230801</v>
      </c>
      <c r="HY75" s="99">
        <v>16.6964230769231</v>
      </c>
      <c r="HZ75" s="99">
        <v>16.745115384615399</v>
      </c>
      <c r="IA75" s="99">
        <v>16.793807692307698</v>
      </c>
      <c r="IB75" s="99">
        <v>16.842500000000001</v>
      </c>
      <c r="IC75" s="99">
        <v>16.8911923076923</v>
      </c>
      <c r="ID75" s="99">
        <v>16.939884615384599</v>
      </c>
      <c r="IE75" s="99">
        <v>16.988576923076899</v>
      </c>
      <c r="IF75" s="99">
        <v>17.037269230769201</v>
      </c>
      <c r="IG75" s="99">
        <v>17.0859615384615</v>
      </c>
      <c r="IH75" s="99">
        <v>17.1346538461538</v>
      </c>
      <c r="II75" s="99">
        <v>17.183346153846198</v>
      </c>
      <c r="IJ75" s="99">
        <v>17.232038461538501</v>
      </c>
      <c r="IK75" s="99">
        <v>17.2807307692308</v>
      </c>
      <c r="IL75" s="99">
        <v>17.329423076923099</v>
      </c>
      <c r="IM75" s="99">
        <v>17.378115384615398</v>
      </c>
      <c r="IN75" s="99">
        <v>17.426807692307701</v>
      </c>
      <c r="IO75" s="99">
        <v>17.4755</v>
      </c>
      <c r="IP75" s="99">
        <v>17.524192307692299</v>
      </c>
      <c r="IQ75" s="99">
        <v>17.572884615384599</v>
      </c>
      <c r="IR75" s="99">
        <v>17.621576923076901</v>
      </c>
      <c r="IS75" s="99">
        <v>17.6702692307692</v>
      </c>
      <c r="IT75" s="99">
        <v>17.7189615384615</v>
      </c>
      <c r="IU75" s="99">
        <v>17.767653846153799</v>
      </c>
      <c r="IV75" s="99">
        <v>17.816346153846201</v>
      </c>
      <c r="IW75" s="99">
        <v>17.8650384615385</v>
      </c>
      <c r="IX75" s="99">
        <v>17.913730769230799</v>
      </c>
      <c r="IY75" s="99">
        <v>17.962423076923098</v>
      </c>
      <c r="IZ75" s="99">
        <v>18.011115384615401</v>
      </c>
      <c r="JA75" s="99">
        <v>18.0598076923077</v>
      </c>
      <c r="JB75" s="99">
        <v>18.108499999999999</v>
      </c>
      <c r="JC75" s="99">
        <v>18.157192307692299</v>
      </c>
      <c r="JD75" s="99">
        <v>18.205884615384601</v>
      </c>
      <c r="JE75" s="99">
        <v>18.2545769230769</v>
      </c>
      <c r="JF75" s="99">
        <v>18.3032692307692</v>
      </c>
      <c r="JG75" s="99">
        <v>18.351961538461499</v>
      </c>
      <c r="JH75" s="99">
        <v>18.400653846153801</v>
      </c>
      <c r="JI75" s="99">
        <v>18.4493461538462</v>
      </c>
      <c r="JJ75" s="99">
        <v>18.498038461538499</v>
      </c>
      <c r="JK75" s="99">
        <v>18.546730769230798</v>
      </c>
      <c r="JL75" s="99">
        <v>18.595423076923101</v>
      </c>
      <c r="JM75" s="99">
        <v>18.6441153846154</v>
      </c>
      <c r="JN75" s="99">
        <v>18.692807692307699</v>
      </c>
      <c r="JO75" s="99">
        <v>18.741499999999998</v>
      </c>
      <c r="JP75" s="99">
        <v>18.790192307692301</v>
      </c>
      <c r="JQ75" s="99">
        <v>18.8388846153846</v>
      </c>
      <c r="JR75" s="99">
        <v>18.8875769230769</v>
      </c>
      <c r="JS75" s="99">
        <v>18.936269230769199</v>
      </c>
      <c r="JT75" s="99">
        <v>18.984961538461501</v>
      </c>
      <c r="JU75" s="99">
        <v>19.033653846153801</v>
      </c>
      <c r="JV75" s="99">
        <v>19.082346153846199</v>
      </c>
      <c r="JW75" s="99">
        <v>19.131038461538498</v>
      </c>
      <c r="JX75" s="99">
        <v>19.179730769230801</v>
      </c>
      <c r="JY75" s="99">
        <v>19.2284230769231</v>
      </c>
      <c r="JZ75" s="99">
        <v>19.277115384615399</v>
      </c>
      <c r="KA75" s="99">
        <v>19.325807692307698</v>
      </c>
      <c r="KB75" s="99">
        <v>19.374500000000001</v>
      </c>
      <c r="KC75" s="99">
        <v>19.4231923076923</v>
      </c>
      <c r="KD75" s="99">
        <v>19.471884615384599</v>
      </c>
      <c r="KE75" s="99">
        <v>19.520576923076899</v>
      </c>
      <c r="KF75" s="99">
        <v>19.569269230769201</v>
      </c>
      <c r="KG75" s="99">
        <v>19.6179615384615</v>
      </c>
      <c r="KH75" s="99">
        <v>19.6666538461538</v>
      </c>
      <c r="KI75" s="99">
        <v>19.715346153846198</v>
      </c>
      <c r="KJ75" s="99">
        <v>19.764038461538501</v>
      </c>
      <c r="KK75" s="99">
        <v>19.8127307692308</v>
      </c>
      <c r="KL75" s="99">
        <v>19.861423076923099</v>
      </c>
      <c r="KM75" s="99">
        <v>19.910115384615398</v>
      </c>
      <c r="KN75" s="99">
        <v>19.958807692307701</v>
      </c>
      <c r="KO75" s="99">
        <v>20.0075</v>
      </c>
      <c r="KP75" s="99">
        <v>20.056192307692299</v>
      </c>
      <c r="KQ75" s="99">
        <v>20.104884615384599</v>
      </c>
      <c r="KR75" s="99">
        <v>20.153576923076901</v>
      </c>
      <c r="KS75" s="99">
        <v>20.2022692307692</v>
      </c>
      <c r="KT75" s="99">
        <v>20.2509615384615</v>
      </c>
      <c r="KU75" s="99">
        <v>20.299653846153799</v>
      </c>
      <c r="KV75" s="99">
        <v>20.348346153846201</v>
      </c>
      <c r="KW75" s="99">
        <v>20.3970384615385</v>
      </c>
      <c r="KX75" s="99">
        <v>20.445730769230799</v>
      </c>
      <c r="KY75" s="99">
        <v>20.494423076923098</v>
      </c>
      <c r="KZ75" s="99">
        <v>20.543115384615401</v>
      </c>
      <c r="LA75" s="99">
        <v>20.5918076923077</v>
      </c>
      <c r="LB75" s="99">
        <v>20.640499999999999</v>
      </c>
      <c r="LC75" s="99">
        <v>20.689192307692299</v>
      </c>
      <c r="LD75" s="99">
        <v>20.737884615384601</v>
      </c>
      <c r="LE75" s="99">
        <v>20.7865769230769</v>
      </c>
      <c r="LF75" s="99">
        <v>20.8352692307692</v>
      </c>
      <c r="LG75" s="99">
        <v>20.883961538461499</v>
      </c>
      <c r="LH75" s="99">
        <v>20.932653846153801</v>
      </c>
      <c r="LI75" s="99">
        <v>20.9813461538462</v>
      </c>
      <c r="LJ75" s="99">
        <v>21.030038461538499</v>
      </c>
      <c r="LK75" s="99">
        <v>21.078730769230798</v>
      </c>
      <c r="LL75" s="99">
        <v>21.127423076923101</v>
      </c>
      <c r="LM75" s="99">
        <v>21.1761153846154</v>
      </c>
      <c r="LN75" s="99">
        <v>21.224807692307699</v>
      </c>
      <c r="LO75" s="99">
        <v>21.273499999999999</v>
      </c>
      <c r="LP75" s="99">
        <v>21.322192307692301</v>
      </c>
      <c r="LQ75" s="99">
        <v>21.3708846153846</v>
      </c>
      <c r="LR75" s="99">
        <v>21.4195769230769</v>
      </c>
      <c r="LS75" s="99">
        <v>21.468269230769199</v>
      </c>
      <c r="LT75" s="99">
        <v>21.516961538461501</v>
      </c>
      <c r="LU75" s="99">
        <v>21.565653846153801</v>
      </c>
      <c r="LV75" s="99">
        <v>21.614346153846199</v>
      </c>
      <c r="LW75" s="99">
        <v>21.663038461538498</v>
      </c>
      <c r="LX75" s="99">
        <v>21.711730769230801</v>
      </c>
      <c r="LY75" s="99">
        <v>21.7604230769231</v>
      </c>
      <c r="LZ75" s="99">
        <v>21.809115384615399</v>
      </c>
      <c r="MA75" s="99">
        <v>21.857807692307698</v>
      </c>
      <c r="MB75" s="99">
        <v>21.906500000000001</v>
      </c>
      <c r="MC75" s="99">
        <v>21.9551923076923</v>
      </c>
      <c r="MD75" s="99">
        <v>22.003884615384599</v>
      </c>
      <c r="ME75" s="99">
        <v>22.052576923076899</v>
      </c>
      <c r="MF75" s="99">
        <v>22.101269230769201</v>
      </c>
      <c r="MG75" s="99">
        <v>22.149961538461501</v>
      </c>
      <c r="MH75" s="99">
        <v>22.198653846153899</v>
      </c>
      <c r="MI75" s="99">
        <v>22.247346153846198</v>
      </c>
      <c r="MJ75" s="99">
        <v>22.296038461538501</v>
      </c>
      <c r="MK75" s="99">
        <v>22.3447307692308</v>
      </c>
      <c r="ML75" s="99">
        <v>22.393423076923099</v>
      </c>
      <c r="MM75" s="99">
        <v>22.442115384615398</v>
      </c>
      <c r="MN75" s="99">
        <v>22.490807692307701</v>
      </c>
      <c r="MO75" s="99">
        <v>22.5395</v>
      </c>
      <c r="MP75" s="99">
        <v>22.588192307692299</v>
      </c>
      <c r="MQ75" s="99">
        <v>22.636884615384599</v>
      </c>
      <c r="MR75" s="99">
        <v>22.685576923076901</v>
      </c>
      <c r="MS75" s="99">
        <v>22.7342692307692</v>
      </c>
      <c r="MT75" s="99">
        <v>22.7829615384615</v>
      </c>
      <c r="MU75" s="99">
        <v>22.831653846153799</v>
      </c>
      <c r="MV75" s="99">
        <v>22.880346153846201</v>
      </c>
      <c r="MW75" s="99">
        <v>22.9290384615385</v>
      </c>
      <c r="MX75" s="99">
        <v>22.977730769230799</v>
      </c>
      <c r="MY75" s="99">
        <v>23.026423076923098</v>
      </c>
      <c r="MZ75" s="99">
        <v>23.075115384615401</v>
      </c>
      <c r="NA75" s="99">
        <v>23.1238076923077</v>
      </c>
      <c r="NB75" s="99">
        <v>23.172499999999999</v>
      </c>
      <c r="NC75" s="99">
        <v>23.221192307692299</v>
      </c>
      <c r="ND75" s="99">
        <v>23.269884615384601</v>
      </c>
      <c r="NE75" s="99">
        <v>23.3185769230769</v>
      </c>
      <c r="NF75" s="99">
        <v>23.3672692307692</v>
      </c>
      <c r="NG75" s="99">
        <v>23.415961538461499</v>
      </c>
      <c r="NH75" s="99">
        <v>23.464653846153801</v>
      </c>
      <c r="NI75" s="99">
        <v>23.5133461538462</v>
      </c>
      <c r="NJ75" s="99">
        <v>23.562038461538499</v>
      </c>
      <c r="NK75" s="99">
        <v>23.610730769230798</v>
      </c>
      <c r="NL75" s="99">
        <v>23.659423076923101</v>
      </c>
      <c r="NM75" s="99">
        <v>23.7081153846154</v>
      </c>
      <c r="NN75" s="99">
        <v>23.756807692307699</v>
      </c>
      <c r="NO75" s="99">
        <v>23.805499999999999</v>
      </c>
      <c r="NP75" s="99">
        <v>23.854192307692301</v>
      </c>
      <c r="NQ75" s="99">
        <v>23.9028846153846</v>
      </c>
      <c r="NR75" s="99">
        <v>23.9515769230769</v>
      </c>
      <c r="NS75" s="99">
        <v>24.000269230769199</v>
      </c>
      <c r="NT75" s="99">
        <v>24.048961538461501</v>
      </c>
      <c r="NU75" s="99">
        <v>24.0976538461539</v>
      </c>
      <c r="NV75" s="99">
        <v>24.146346153846199</v>
      </c>
      <c r="NW75" s="99">
        <v>24.195038461538498</v>
      </c>
      <c r="NX75" s="99">
        <v>24.243730769230801</v>
      </c>
      <c r="NY75" s="99">
        <v>24.2924230769231</v>
      </c>
      <c r="NZ75" s="99">
        <v>24.341115384615399</v>
      </c>
      <c r="OA75" s="99">
        <v>24.389807692307699</v>
      </c>
      <c r="OB75" s="99">
        <v>24.438500000000001</v>
      </c>
      <c r="OC75" s="99">
        <v>24.4871923076923</v>
      </c>
      <c r="OD75" s="99">
        <v>24.5358846153846</v>
      </c>
      <c r="OE75" s="99">
        <v>24.584576923076899</v>
      </c>
      <c r="OF75" s="99">
        <v>24.633269230769201</v>
      </c>
      <c r="OG75" s="99">
        <v>24.681961538461501</v>
      </c>
      <c r="OH75" s="99">
        <v>24.730653846153899</v>
      </c>
      <c r="OI75" s="99">
        <v>24.779346153846198</v>
      </c>
      <c r="OJ75" s="99">
        <v>24.828038461538501</v>
      </c>
      <c r="OK75" s="99">
        <v>24.8767307692308</v>
      </c>
      <c r="OL75" s="99">
        <v>24.925423076923099</v>
      </c>
      <c r="OM75" s="99">
        <v>24.974115384615398</v>
      </c>
      <c r="ON75" s="99">
        <v>25.022807692307701</v>
      </c>
      <c r="OO75" s="99">
        <v>25.0715</v>
      </c>
      <c r="OP75" s="99">
        <v>25.120192307692299</v>
      </c>
      <c r="OQ75" s="99">
        <v>25.168884615384599</v>
      </c>
      <c r="OR75" s="99">
        <v>25.217576923076901</v>
      </c>
      <c r="OS75" s="99">
        <v>25.266269230769201</v>
      </c>
      <c r="OT75" s="99">
        <v>25.3149615384615</v>
      </c>
      <c r="OU75" s="99">
        <v>25.363653846153799</v>
      </c>
      <c r="OV75" s="99">
        <v>25.412346153846201</v>
      </c>
      <c r="OW75" s="99">
        <v>25.4610384615385</v>
      </c>
      <c r="OX75" s="99">
        <v>25.509730769230799</v>
      </c>
      <c r="OY75" s="99">
        <v>25.558423076923098</v>
      </c>
      <c r="OZ75" s="99">
        <v>25.607115384615401</v>
      </c>
      <c r="PA75" s="99">
        <v>25.6558076923077</v>
      </c>
      <c r="PB75" s="99">
        <v>25.704499999999999</v>
      </c>
      <c r="PC75" s="99">
        <v>25.753192307692299</v>
      </c>
      <c r="PD75" s="99">
        <v>25.801884615384601</v>
      </c>
      <c r="PE75" s="99">
        <v>25.8505769230769</v>
      </c>
      <c r="PF75" s="99">
        <v>25.8992692307692</v>
      </c>
      <c r="PG75" s="99">
        <v>25.947961538461499</v>
      </c>
      <c r="PH75" s="99">
        <v>25.996653846153801</v>
      </c>
      <c r="PI75" s="99">
        <v>26.0453461538462</v>
      </c>
      <c r="PJ75" s="99">
        <v>26.094038461538499</v>
      </c>
      <c r="PK75" s="99">
        <v>26.142730769230798</v>
      </c>
      <c r="PL75" s="99">
        <v>26.191423076923101</v>
      </c>
      <c r="PM75" s="99">
        <v>26.2401153846154</v>
      </c>
      <c r="PN75" s="99">
        <v>26.288807692307699</v>
      </c>
      <c r="PO75" s="99">
        <v>26.337499999999999</v>
      </c>
      <c r="PP75" s="99">
        <v>26.386192307692301</v>
      </c>
      <c r="PQ75" s="99">
        <v>26.4348846153846</v>
      </c>
      <c r="PR75" s="99">
        <v>26.4835769230769</v>
      </c>
      <c r="PS75" s="99">
        <v>26.532269230769199</v>
      </c>
      <c r="PT75" s="99">
        <v>26.580961538461501</v>
      </c>
      <c r="PU75" s="99">
        <v>26.6296538461539</v>
      </c>
      <c r="PV75" s="99">
        <v>26.678346153846199</v>
      </c>
      <c r="PW75" s="99">
        <v>26.727038461538498</v>
      </c>
      <c r="PX75" s="99">
        <v>26.775730769230801</v>
      </c>
      <c r="PY75" s="99">
        <v>26.8244230769231</v>
      </c>
      <c r="PZ75" s="99">
        <v>26.873115384615399</v>
      </c>
      <c r="QA75" s="99">
        <v>26.921807692307699</v>
      </c>
      <c r="QB75" s="99">
        <v>26.970500000000001</v>
      </c>
      <c r="QC75" s="99">
        <v>27.0191923076923</v>
      </c>
      <c r="QD75" s="99">
        <v>27.0678846153846</v>
      </c>
      <c r="QE75" s="99">
        <v>27.116576923076899</v>
      </c>
      <c r="QF75" s="99">
        <v>27.165269230769201</v>
      </c>
      <c r="QG75" s="99">
        <v>27.213961538461501</v>
      </c>
      <c r="QH75" s="99">
        <v>27.262653846153899</v>
      </c>
      <c r="QI75" s="99">
        <v>27.311346153846198</v>
      </c>
      <c r="QJ75" s="99">
        <v>27.360038461538501</v>
      </c>
      <c r="QK75" s="99">
        <v>27.4087307692308</v>
      </c>
      <c r="QL75" s="99">
        <v>27.457423076923099</v>
      </c>
      <c r="QM75" s="99">
        <v>27.506115384615399</v>
      </c>
      <c r="QN75" s="99">
        <v>27.554807692307701</v>
      </c>
      <c r="QO75" s="99">
        <v>27.6035</v>
      </c>
      <c r="QP75" s="99">
        <v>27.6521923076923</v>
      </c>
      <c r="QQ75" s="99">
        <v>27.700884615384599</v>
      </c>
      <c r="QR75" s="99">
        <v>27.749576923076901</v>
      </c>
      <c r="QS75" s="99">
        <v>27.798269230769201</v>
      </c>
      <c r="QT75" s="99">
        <v>27.8469615384615</v>
      </c>
      <c r="QU75" s="99">
        <v>27.895653846153799</v>
      </c>
      <c r="QV75" s="99">
        <v>27.944346153846201</v>
      </c>
      <c r="QW75" s="99">
        <v>27.9930384615385</v>
      </c>
      <c r="QX75" s="99">
        <v>28.041730769230799</v>
      </c>
      <c r="QY75" s="99">
        <v>28.090423076923098</v>
      </c>
      <c r="QZ75" s="99">
        <v>28.139115384615401</v>
      </c>
      <c r="RA75" s="99">
        <v>28.1878076923077</v>
      </c>
      <c r="RB75" s="99">
        <v>28.236499999999999</v>
      </c>
      <c r="RC75" s="99">
        <v>28.285192307692299</v>
      </c>
      <c r="RD75" s="99">
        <v>28.333884615384601</v>
      </c>
      <c r="RE75" s="99">
        <v>28.3825769230769</v>
      </c>
      <c r="RF75" s="99">
        <v>28.4312692307692</v>
      </c>
      <c r="RG75" s="99">
        <v>28.479961538461499</v>
      </c>
      <c r="RH75" s="99">
        <v>28.528653846153901</v>
      </c>
      <c r="RI75" s="99">
        <v>28.5773461538462</v>
      </c>
      <c r="RJ75" s="99">
        <v>28.626038461538499</v>
      </c>
      <c r="RK75" s="99">
        <v>28.674730769230798</v>
      </c>
      <c r="RL75" s="99">
        <v>28.723423076923101</v>
      </c>
      <c r="RM75" s="99">
        <v>28.7721153846154</v>
      </c>
      <c r="RN75" s="99">
        <v>28.820807692307699</v>
      </c>
      <c r="RO75" s="99">
        <v>28.869499999999999</v>
      </c>
      <c r="RP75" s="99">
        <v>28.918192307692301</v>
      </c>
      <c r="RQ75" s="99">
        <v>28.9668846153846</v>
      </c>
      <c r="RR75" s="99">
        <v>29.0155769230769</v>
      </c>
      <c r="RS75" s="99">
        <v>29.064269230769199</v>
      </c>
      <c r="RT75" s="99">
        <v>29.112961538461501</v>
      </c>
      <c r="RU75" s="99">
        <v>29.1616538461539</v>
      </c>
      <c r="RV75" s="99">
        <v>29.210346153846199</v>
      </c>
      <c r="RW75" s="99">
        <v>29.259038461538498</v>
      </c>
      <c r="RX75" s="99">
        <v>29.307730769230801</v>
      </c>
      <c r="RY75" s="99">
        <v>29.3564230769231</v>
      </c>
      <c r="RZ75" s="99">
        <v>29.405115384615399</v>
      </c>
      <c r="SA75" s="99">
        <v>29.453807692307699</v>
      </c>
      <c r="SB75" s="99">
        <v>29.502500000000001</v>
      </c>
      <c r="SC75" s="99">
        <v>29.5511923076923</v>
      </c>
      <c r="SD75" s="99">
        <v>29.5998846153846</v>
      </c>
      <c r="SE75" s="99">
        <v>29.648576923076899</v>
      </c>
      <c r="SF75" s="99">
        <v>29.697269230769201</v>
      </c>
      <c r="SG75" s="99">
        <v>29.745961538461501</v>
      </c>
      <c r="SH75" s="99">
        <v>29.794653846153899</v>
      </c>
      <c r="SI75" s="99">
        <v>29.843346153846198</v>
      </c>
      <c r="SJ75" s="99">
        <v>29.892038461538501</v>
      </c>
      <c r="SK75" s="99">
        <v>29.9407307692308</v>
      </c>
      <c r="SL75" s="99">
        <v>29.989423076923099</v>
      </c>
      <c r="SM75" s="99">
        <v>30.038115384615399</v>
      </c>
      <c r="SN75" s="99">
        <v>30.086807692307701</v>
      </c>
      <c r="SO75" s="99">
        <v>30.1355</v>
      </c>
      <c r="SP75" s="99">
        <v>30.1841923076923</v>
      </c>
      <c r="SQ75" s="99">
        <v>30.232884615384599</v>
      </c>
      <c r="SR75" s="99">
        <v>30.281576923076901</v>
      </c>
      <c r="SS75" s="99">
        <v>30.330269230769201</v>
      </c>
      <c r="ST75" s="99">
        <v>30.3789615384615</v>
      </c>
      <c r="SU75" s="99">
        <v>30.427653846153799</v>
      </c>
      <c r="SV75" s="99">
        <v>30.476346153846201</v>
      </c>
      <c r="SW75" s="99">
        <v>30.5250384615385</v>
      </c>
      <c r="SX75" s="99">
        <v>30.573730769230799</v>
      </c>
      <c r="SY75" s="99">
        <v>30.622423076923099</v>
      </c>
      <c r="SZ75" s="99">
        <v>30.671115384615401</v>
      </c>
      <c r="TA75" s="99">
        <v>30.7198076923077</v>
      </c>
      <c r="TB75" s="99">
        <v>30.7685</v>
      </c>
      <c r="TC75" s="99">
        <v>30.817192307692299</v>
      </c>
      <c r="TD75" s="99">
        <v>30.865884615384601</v>
      </c>
      <c r="TE75" s="99">
        <v>30.914576923076901</v>
      </c>
      <c r="TF75" s="99">
        <v>30.9632692307692</v>
      </c>
      <c r="TG75" s="99">
        <v>31.011961538461499</v>
      </c>
      <c r="TH75" s="99">
        <v>31.060653846153901</v>
      </c>
      <c r="TI75" s="99">
        <v>31.1093461538462</v>
      </c>
      <c r="TJ75" s="99">
        <v>31.158038461538499</v>
      </c>
      <c r="TK75" s="99">
        <v>31.206730769230798</v>
      </c>
      <c r="TL75" s="99">
        <v>31.255423076923101</v>
      </c>
      <c r="TM75" s="99">
        <v>31.3041153846154</v>
      </c>
      <c r="TN75" s="99">
        <v>31.352807692307699</v>
      </c>
      <c r="TO75" s="99">
        <v>31.401499999999999</v>
      </c>
      <c r="TP75" s="99">
        <v>31.450192307692301</v>
      </c>
      <c r="TQ75" s="99">
        <v>31.4988846153846</v>
      </c>
      <c r="TR75" s="99">
        <v>31.5475769230769</v>
      </c>
      <c r="TS75" s="99">
        <v>31.596269230769199</v>
      </c>
      <c r="TT75" s="99">
        <v>31.644961538461502</v>
      </c>
      <c r="TU75" s="99">
        <v>31.6936538461539</v>
      </c>
      <c r="TV75" s="99">
        <v>31.742346153846199</v>
      </c>
      <c r="TW75" s="99">
        <v>31.791038461538498</v>
      </c>
      <c r="TX75" s="99">
        <v>31.839730769230801</v>
      </c>
      <c r="TY75" s="99">
        <v>31.8884230769231</v>
      </c>
      <c r="TZ75" s="99">
        <v>31.937115384615399</v>
      </c>
      <c r="UA75" s="99">
        <v>31.985807692307699</v>
      </c>
      <c r="UB75" s="99">
        <v>32.034500000000001</v>
      </c>
      <c r="UC75" s="99">
        <v>32.0831923076923</v>
      </c>
      <c r="UD75" s="99">
        <v>32.1318846153846</v>
      </c>
      <c r="UE75" s="99">
        <v>32.180576923076899</v>
      </c>
      <c r="UF75" s="99">
        <v>32.229269230769198</v>
      </c>
      <c r="UG75" s="99">
        <v>32.277961538461497</v>
      </c>
      <c r="UH75" s="99">
        <v>32.326653846153903</v>
      </c>
      <c r="UI75" s="99">
        <v>32.375346153846202</v>
      </c>
      <c r="UJ75" s="99">
        <v>32.424038461538501</v>
      </c>
      <c r="UK75" s="99">
        <v>32.4727307692308</v>
      </c>
      <c r="UL75" s="99">
        <v>32.521423076923099</v>
      </c>
      <c r="UM75" s="99">
        <v>32.570115384615399</v>
      </c>
      <c r="UN75" s="99">
        <v>32.618807692307698</v>
      </c>
      <c r="UO75" s="99">
        <v>32.667499999999997</v>
      </c>
      <c r="UP75" s="99">
        <v>32.716192307692303</v>
      </c>
      <c r="UQ75" s="99">
        <v>32.764884615384602</v>
      </c>
      <c r="UR75" s="99">
        <v>32.813576923076901</v>
      </c>
      <c r="US75" s="99">
        <v>32.862269230769201</v>
      </c>
      <c r="UT75" s="99">
        <v>32.9109615384615</v>
      </c>
    </row>
    <row r="76" spans="1:566" x14ac:dyDescent="0.2">
      <c r="A76" s="89">
        <v>35</v>
      </c>
      <c r="B76" s="90">
        <v>5.4</v>
      </c>
      <c r="C76" s="90">
        <v>5.45</v>
      </c>
      <c r="D76" s="90">
        <v>5.5</v>
      </c>
      <c r="E76" s="90">
        <v>5.55</v>
      </c>
      <c r="F76" s="90">
        <v>5.59</v>
      </c>
      <c r="G76" s="90">
        <v>5.64</v>
      </c>
      <c r="H76" s="90">
        <v>5.69</v>
      </c>
      <c r="I76" s="90">
        <v>5.74</v>
      </c>
      <c r="J76" s="90">
        <v>5.79</v>
      </c>
      <c r="K76" s="90">
        <v>5.84</v>
      </c>
      <c r="L76" s="90">
        <v>5.88</v>
      </c>
      <c r="M76" s="90">
        <v>5.93</v>
      </c>
      <c r="N76" s="90">
        <v>5.98</v>
      </c>
      <c r="O76" s="90">
        <v>6.03</v>
      </c>
      <c r="P76" s="90">
        <v>6.08</v>
      </c>
      <c r="Q76" s="90">
        <v>6.13</v>
      </c>
      <c r="R76" s="90">
        <v>6.18</v>
      </c>
      <c r="S76" s="90">
        <v>6.22</v>
      </c>
      <c r="T76" s="90">
        <v>6.27</v>
      </c>
      <c r="U76" s="91">
        <v>6.32</v>
      </c>
      <c r="V76" s="90">
        <v>6.37</v>
      </c>
      <c r="W76" s="90">
        <v>6.42</v>
      </c>
      <c r="X76" s="90">
        <v>6.47</v>
      </c>
      <c r="Y76" s="90">
        <v>6.51</v>
      </c>
      <c r="Z76" s="90">
        <v>6.56</v>
      </c>
      <c r="AA76" s="90">
        <v>6.61</v>
      </c>
      <c r="AB76" s="90">
        <v>6.66</v>
      </c>
      <c r="AC76" s="90">
        <v>6.71</v>
      </c>
      <c r="AD76" s="90">
        <v>6.76</v>
      </c>
      <c r="AE76" s="90">
        <v>6.8</v>
      </c>
      <c r="AF76" s="90">
        <v>6.85</v>
      </c>
      <c r="AG76" s="90">
        <v>6.9</v>
      </c>
      <c r="AH76" s="90">
        <v>6.95</v>
      </c>
      <c r="AI76" s="90">
        <v>7</v>
      </c>
      <c r="AJ76" s="90">
        <v>7.05</v>
      </c>
      <c r="AK76" s="90">
        <v>7.09</v>
      </c>
      <c r="AL76" s="90">
        <v>7.14</v>
      </c>
      <c r="AM76" s="90">
        <v>7.19</v>
      </c>
      <c r="AN76" s="90">
        <v>7.24</v>
      </c>
      <c r="AO76" s="91">
        <v>7.29</v>
      </c>
      <c r="AP76" s="90">
        <v>7.3364230769230803</v>
      </c>
      <c r="AQ76" s="90">
        <v>7.3848095684802999</v>
      </c>
      <c r="AR76" s="90">
        <v>7.4331960600375302</v>
      </c>
      <c r="AS76" s="90">
        <v>7.4815825515947498</v>
      </c>
      <c r="AT76" s="90">
        <v>7.5299690431519704</v>
      </c>
      <c r="AU76" s="90">
        <v>7.5783555347091998</v>
      </c>
      <c r="AV76" s="90">
        <v>7.6267420262664203</v>
      </c>
      <c r="AW76" s="90">
        <v>7.6751285178236399</v>
      </c>
      <c r="AX76" s="90">
        <v>7.7235150093808702</v>
      </c>
      <c r="AY76" s="90">
        <v>7.7719015009380898</v>
      </c>
      <c r="AZ76" s="90">
        <v>7.8202879924953104</v>
      </c>
      <c r="BA76" s="90">
        <v>7.8686744840525398</v>
      </c>
      <c r="BB76" s="90">
        <v>7.9170609756097603</v>
      </c>
      <c r="BC76" s="90">
        <v>7.9654474671669799</v>
      </c>
      <c r="BD76" s="90">
        <v>8.0138339587242093</v>
      </c>
      <c r="BE76" s="90">
        <v>8.0622204502814299</v>
      </c>
      <c r="BF76" s="90">
        <v>8.1106069418386504</v>
      </c>
      <c r="BG76" s="90">
        <v>8.1589934333958798</v>
      </c>
      <c r="BH76" s="90">
        <v>8.2073799249530897</v>
      </c>
      <c r="BI76" s="91">
        <v>8.2557664165103208</v>
      </c>
      <c r="BJ76" s="90">
        <v>8.3041529080675502</v>
      </c>
      <c r="BK76" s="99">
        <v>8.3525393996247708</v>
      </c>
      <c r="BL76" s="99">
        <v>8.4009258911819895</v>
      </c>
      <c r="BM76" s="99">
        <v>8.4493123827392207</v>
      </c>
      <c r="BN76" s="99">
        <v>8.4976988742964394</v>
      </c>
      <c r="BO76" s="99">
        <v>8.54608536585366</v>
      </c>
      <c r="BP76" s="99">
        <v>8.5944718574108894</v>
      </c>
      <c r="BQ76" s="99">
        <v>8.6428583489680992</v>
      </c>
      <c r="BR76" s="99">
        <v>8.6912448405253304</v>
      </c>
      <c r="BS76" s="99">
        <v>8.7396313320825598</v>
      </c>
      <c r="BT76" s="99">
        <v>8.7880178236397803</v>
      </c>
      <c r="BU76" s="99">
        <v>8.8364043151970009</v>
      </c>
      <c r="BV76" s="99">
        <v>8.8847908067542196</v>
      </c>
      <c r="BW76" s="99">
        <v>8.9331772983114508</v>
      </c>
      <c r="BX76" s="99">
        <v>8.9815637898686695</v>
      </c>
      <c r="BY76" s="99">
        <v>9.0299502814259007</v>
      </c>
      <c r="BZ76" s="99">
        <v>9.0783367729831195</v>
      </c>
      <c r="CA76" s="99">
        <v>9.1267232645403293</v>
      </c>
      <c r="CB76" s="99">
        <v>9.1751097560975694</v>
      </c>
      <c r="CC76" s="99">
        <v>9.2234962476547899</v>
      </c>
      <c r="CD76" s="99">
        <v>9.2718827392120104</v>
      </c>
      <c r="CE76" s="99">
        <v>9.3202692307692399</v>
      </c>
      <c r="CF76" s="99">
        <v>9.3686557223264604</v>
      </c>
      <c r="CG76" s="99">
        <v>9.4170422138836791</v>
      </c>
      <c r="CH76" s="99">
        <v>9.4654287054409103</v>
      </c>
      <c r="CI76" s="99">
        <v>9.5138151969981308</v>
      </c>
      <c r="CJ76" s="99">
        <v>9.5622016885553496</v>
      </c>
      <c r="CK76" s="99">
        <v>9.6105881801125808</v>
      </c>
      <c r="CL76" s="99">
        <v>9.6589746716697995</v>
      </c>
      <c r="CM76" s="99">
        <v>9.70736116322702</v>
      </c>
      <c r="CN76" s="99">
        <v>9.7557476547842406</v>
      </c>
      <c r="CO76" s="99">
        <v>9.8041341463414593</v>
      </c>
      <c r="CP76" s="99">
        <v>9.8525206378986905</v>
      </c>
      <c r="CQ76" s="99">
        <v>9.9009071294559092</v>
      </c>
      <c r="CR76" s="99">
        <v>9.9492936210131404</v>
      </c>
      <c r="CS76" s="99">
        <v>9.9976801125703592</v>
      </c>
      <c r="CT76" s="99">
        <v>10.046066604127599</v>
      </c>
      <c r="CU76" s="99">
        <v>10.0944530956848</v>
      </c>
      <c r="CV76" s="99">
        <v>10.142839587241999</v>
      </c>
      <c r="CW76" s="99">
        <v>10.1912260787992</v>
      </c>
      <c r="CX76" s="99">
        <v>10.239612570356501</v>
      </c>
      <c r="CY76" s="99">
        <v>10.2879990619137</v>
      </c>
      <c r="CZ76" s="99">
        <v>10.336385553470899</v>
      </c>
      <c r="DA76" s="99">
        <v>10.3847720450281</v>
      </c>
      <c r="DB76" s="99">
        <v>10.433158536585401</v>
      </c>
      <c r="DC76" s="99">
        <v>10.4815450281426</v>
      </c>
      <c r="DD76" s="99">
        <v>10.529931519699799</v>
      </c>
      <c r="DE76" s="99">
        <v>10.578318011257</v>
      </c>
      <c r="DF76" s="99">
        <v>10.626704502814301</v>
      </c>
      <c r="DG76" s="99">
        <v>10.6750909943715</v>
      </c>
      <c r="DH76" s="99">
        <v>10.723477485928701</v>
      </c>
      <c r="DI76" s="99">
        <v>10.7718639774859</v>
      </c>
      <c r="DJ76" s="99">
        <v>10.8202504690432</v>
      </c>
      <c r="DK76" s="99">
        <v>10.8686369606004</v>
      </c>
      <c r="DL76" s="99">
        <v>10.917023452157601</v>
      </c>
      <c r="DM76" s="99">
        <v>10.9654099437148</v>
      </c>
      <c r="DN76" s="99">
        <v>11.013796435272001</v>
      </c>
      <c r="DO76" s="99">
        <v>11.062182926829299</v>
      </c>
      <c r="DP76" s="99">
        <v>11.1105694183865</v>
      </c>
      <c r="DQ76" s="99">
        <v>11.1589559099437</v>
      </c>
      <c r="DR76" s="99">
        <v>11.207342401500901</v>
      </c>
      <c r="DS76" s="99">
        <v>11.255728893058199</v>
      </c>
      <c r="DT76" s="99">
        <v>11.3041153846154</v>
      </c>
      <c r="DU76" s="99">
        <v>11.3525018761726</v>
      </c>
      <c r="DV76" s="99">
        <v>11.400888367729801</v>
      </c>
      <c r="DW76" s="99">
        <v>11.449274859287099</v>
      </c>
      <c r="DX76" s="99">
        <v>11.4976613508443</v>
      </c>
      <c r="DY76" s="99">
        <v>11.546047842401499</v>
      </c>
      <c r="DZ76" s="99">
        <v>11.5944343339587</v>
      </c>
      <c r="EA76" s="99">
        <v>11.6428208255159</v>
      </c>
      <c r="EB76" s="99">
        <v>11.6912073170732</v>
      </c>
      <c r="EC76" s="99">
        <v>11.739593808630399</v>
      </c>
      <c r="ED76" s="99">
        <v>11.7879803001876</v>
      </c>
      <c r="EE76" s="99">
        <v>11.836366791744799</v>
      </c>
      <c r="EF76" s="99">
        <v>11.8847532833021</v>
      </c>
      <c r="EG76" s="99">
        <v>11.933139774859301</v>
      </c>
      <c r="EH76" s="99">
        <v>11.9815262664165</v>
      </c>
      <c r="EI76" s="99">
        <v>12.029912757973699</v>
      </c>
      <c r="EJ76" s="99">
        <v>12.078299249531</v>
      </c>
      <c r="EK76" s="99">
        <v>12.126685741088201</v>
      </c>
      <c r="EL76" s="99">
        <v>12.1750722326454</v>
      </c>
      <c r="EM76" s="99">
        <v>12.223458724202599</v>
      </c>
      <c r="EN76" s="99">
        <v>12.2718452157599</v>
      </c>
      <c r="EO76" s="99">
        <v>12.320231707317101</v>
      </c>
      <c r="EP76" s="99">
        <v>12.3686181988743</v>
      </c>
      <c r="EQ76" s="99">
        <v>12.417004690431501</v>
      </c>
      <c r="ER76" s="99">
        <v>12.4653911819887</v>
      </c>
      <c r="ES76" s="99">
        <v>12.513777673546</v>
      </c>
      <c r="ET76" s="99">
        <v>12.5621641651032</v>
      </c>
      <c r="EU76" s="99">
        <v>12.610550656660401</v>
      </c>
      <c r="EV76" s="99">
        <v>12.6589371482176</v>
      </c>
      <c r="EW76" s="99">
        <v>12.7073236397749</v>
      </c>
      <c r="EX76" s="99">
        <v>12.7557101313321</v>
      </c>
      <c r="EY76" s="99">
        <v>12.804096622889301</v>
      </c>
      <c r="EZ76" s="99">
        <v>12.8524831144465</v>
      </c>
      <c r="FA76" s="99">
        <v>12.9008696060038</v>
      </c>
      <c r="FB76" s="99">
        <v>12.949256097560999</v>
      </c>
      <c r="FC76" s="99">
        <v>12.9976425891182</v>
      </c>
      <c r="FD76" s="99">
        <v>13.0460290806754</v>
      </c>
      <c r="FE76" s="99">
        <v>13.094415572232601</v>
      </c>
      <c r="FF76" s="99">
        <v>13.142802063789899</v>
      </c>
      <c r="FG76" s="99">
        <v>13.1911885553471</v>
      </c>
      <c r="FH76" s="99">
        <v>13.239575046904299</v>
      </c>
      <c r="FI76" s="99">
        <v>13.2879615384615</v>
      </c>
      <c r="FJ76" s="99">
        <v>13.336348030018801</v>
      </c>
      <c r="FK76" s="99">
        <v>13.384734521576</v>
      </c>
      <c r="FL76" s="99">
        <v>13.433121013133199</v>
      </c>
      <c r="FM76" s="99">
        <v>13.4815075046904</v>
      </c>
      <c r="FN76" s="99">
        <v>13.529893996247701</v>
      </c>
      <c r="FO76" s="99">
        <v>13.5782804878049</v>
      </c>
      <c r="FP76" s="99">
        <v>13.626666979362099</v>
      </c>
      <c r="FQ76" s="99">
        <v>13.6750534709193</v>
      </c>
      <c r="FR76" s="99">
        <v>13.723439962476499</v>
      </c>
      <c r="FS76" s="99">
        <v>13.7718264540338</v>
      </c>
      <c r="FT76" s="99">
        <v>13.820212945591001</v>
      </c>
      <c r="FU76" s="99">
        <v>13.8685994371482</v>
      </c>
      <c r="FV76" s="99">
        <v>13.916985928705399</v>
      </c>
      <c r="FW76" s="99">
        <v>13.9653724202627</v>
      </c>
      <c r="FX76" s="99">
        <v>14.013758911819901</v>
      </c>
      <c r="FY76" s="99">
        <v>14.0621454033771</v>
      </c>
      <c r="FZ76" s="99">
        <v>14.110531894934301</v>
      </c>
      <c r="GA76" s="99">
        <v>14.1589183864916</v>
      </c>
      <c r="GB76" s="99">
        <v>14.2073048780488</v>
      </c>
      <c r="GC76" s="99">
        <v>14.255691369606</v>
      </c>
      <c r="GD76" s="99">
        <v>14.304077861163201</v>
      </c>
      <c r="GE76" s="99">
        <v>14.352464352720499</v>
      </c>
      <c r="GF76" s="99">
        <v>14.4008508442777</v>
      </c>
      <c r="GG76" s="99">
        <v>14.4492373358349</v>
      </c>
      <c r="GH76" s="99">
        <v>14.497623827392101</v>
      </c>
      <c r="GI76" s="99">
        <v>14.5460103189493</v>
      </c>
      <c r="GJ76" s="99">
        <v>14.5943968105066</v>
      </c>
      <c r="GK76" s="99">
        <v>14.642783302063799</v>
      </c>
      <c r="GL76" s="99">
        <v>14.691169793621</v>
      </c>
      <c r="GM76" s="99">
        <v>14.7395562851782</v>
      </c>
      <c r="GN76" s="99">
        <v>14.7879427767355</v>
      </c>
      <c r="GO76" s="99">
        <v>14.836329268292699</v>
      </c>
      <c r="GP76" s="99">
        <v>14.8847157598499</v>
      </c>
      <c r="GQ76" s="99">
        <v>14.933102251407099</v>
      </c>
      <c r="GR76" s="99">
        <v>14.9814887429644</v>
      </c>
      <c r="GS76" s="99">
        <v>15.029875234521599</v>
      </c>
      <c r="GT76" s="99">
        <v>15.0782617260788</v>
      </c>
      <c r="GU76" s="99">
        <v>15.126648217635999</v>
      </c>
      <c r="GV76" s="99">
        <v>15.1750347091932</v>
      </c>
      <c r="GW76" s="99">
        <v>15.223421200750501</v>
      </c>
      <c r="GX76" s="99">
        <v>15.2718076923077</v>
      </c>
      <c r="GY76" s="99">
        <v>15.320194183864899</v>
      </c>
      <c r="GZ76" s="99">
        <v>15.3685806754221</v>
      </c>
      <c r="HA76" s="99">
        <v>15.416967166979299</v>
      </c>
      <c r="HB76" s="99">
        <v>15.4653536585365</v>
      </c>
      <c r="HC76" s="99">
        <v>15.513740150093801</v>
      </c>
      <c r="HD76" s="99">
        <v>15.562126641651</v>
      </c>
      <c r="HE76" s="99">
        <v>15.610513133208199</v>
      </c>
      <c r="HF76" s="99">
        <v>15.6588996247654</v>
      </c>
      <c r="HG76" s="99">
        <v>15.707286116322701</v>
      </c>
      <c r="HH76" s="99">
        <v>15.7556726078799</v>
      </c>
      <c r="HI76" s="99">
        <v>15.804059099437101</v>
      </c>
      <c r="HJ76" s="99">
        <v>15.8524455909943</v>
      </c>
      <c r="HK76" s="99">
        <v>15.900832082551601</v>
      </c>
      <c r="HL76" s="99">
        <v>15.9492185741088</v>
      </c>
      <c r="HM76" s="99">
        <v>15.997605065666001</v>
      </c>
      <c r="HN76" s="99">
        <v>16.0459915572232</v>
      </c>
      <c r="HO76" s="99">
        <v>16.094378048780399</v>
      </c>
      <c r="HP76" s="99">
        <v>16.142764540337701</v>
      </c>
      <c r="HQ76" s="99">
        <v>16.191151031894901</v>
      </c>
      <c r="HR76" s="99">
        <v>16.2395375234521</v>
      </c>
      <c r="HS76" s="99">
        <v>16.287924015009299</v>
      </c>
      <c r="HT76" s="99">
        <v>16.336310506566601</v>
      </c>
      <c r="HU76" s="99">
        <v>16.3846969981238</v>
      </c>
      <c r="HV76" s="99">
        <v>16.433083489681</v>
      </c>
      <c r="HW76" s="99">
        <v>16.481469981238199</v>
      </c>
      <c r="HX76" s="99">
        <v>16.529856472795501</v>
      </c>
      <c r="HY76" s="99">
        <v>16.5782429643527</v>
      </c>
      <c r="HZ76" s="99">
        <v>16.626629455909899</v>
      </c>
      <c r="IA76" s="99">
        <v>16.675015947467099</v>
      </c>
      <c r="IB76" s="99">
        <v>16.723402439024301</v>
      </c>
      <c r="IC76" s="99">
        <v>16.7717889305816</v>
      </c>
      <c r="ID76" s="99">
        <v>16.820175422138799</v>
      </c>
      <c r="IE76" s="99">
        <v>16.868561913695999</v>
      </c>
      <c r="IF76" s="99">
        <v>16.916948405253201</v>
      </c>
      <c r="IG76" s="99">
        <v>16.9653348968105</v>
      </c>
      <c r="IH76" s="99">
        <v>17.013721388367699</v>
      </c>
      <c r="II76" s="99">
        <v>17.062107879924898</v>
      </c>
      <c r="IJ76" s="99">
        <v>17.110494371482101</v>
      </c>
      <c r="IK76" s="99">
        <v>17.1588808630394</v>
      </c>
      <c r="IL76" s="99">
        <v>17.207267354596599</v>
      </c>
      <c r="IM76" s="99">
        <v>17.255653846153798</v>
      </c>
      <c r="IN76" s="99">
        <v>17.304040337711001</v>
      </c>
      <c r="IO76" s="99">
        <v>17.3524268292682</v>
      </c>
      <c r="IP76" s="99">
        <v>17.400813320825499</v>
      </c>
      <c r="IQ76" s="99">
        <v>17.449199812382702</v>
      </c>
      <c r="IR76" s="99">
        <v>17.497586303939901</v>
      </c>
      <c r="IS76" s="99">
        <v>17.5459727954971</v>
      </c>
      <c r="IT76" s="99">
        <v>17.594359287054399</v>
      </c>
      <c r="IU76" s="99">
        <v>17.642745778611602</v>
      </c>
      <c r="IV76" s="99">
        <v>17.691132270168801</v>
      </c>
      <c r="IW76" s="99">
        <v>17.739518761726</v>
      </c>
      <c r="IX76" s="99">
        <v>17.787905253283299</v>
      </c>
      <c r="IY76" s="99">
        <v>17.836291744840501</v>
      </c>
      <c r="IZ76" s="99">
        <v>17.884678236397701</v>
      </c>
      <c r="JA76" s="99">
        <v>17.9330647279549</v>
      </c>
      <c r="JB76" s="99">
        <v>17.981451219512198</v>
      </c>
      <c r="JC76" s="99">
        <v>18.029837711069401</v>
      </c>
      <c r="JD76" s="99">
        <v>18.0782242026266</v>
      </c>
      <c r="JE76" s="99">
        <v>18.1266106941838</v>
      </c>
      <c r="JF76" s="99">
        <v>18.174997185740999</v>
      </c>
      <c r="JG76" s="99">
        <v>18.223383677298301</v>
      </c>
      <c r="JH76" s="99">
        <v>18.2717701688555</v>
      </c>
      <c r="JI76" s="99">
        <v>18.3201566604127</v>
      </c>
      <c r="JJ76" s="99">
        <v>18.368543151969899</v>
      </c>
      <c r="JK76" s="99">
        <v>18.416929643527201</v>
      </c>
      <c r="JL76" s="99">
        <v>18.4653161350844</v>
      </c>
      <c r="JM76" s="99">
        <v>18.513702626641599</v>
      </c>
      <c r="JN76" s="99">
        <v>18.562089118198799</v>
      </c>
      <c r="JO76" s="99">
        <v>18.610475609756101</v>
      </c>
      <c r="JP76" s="99">
        <v>18.6588621013133</v>
      </c>
      <c r="JQ76" s="99">
        <v>18.707248592870499</v>
      </c>
      <c r="JR76" s="99">
        <v>18.755635084427698</v>
      </c>
      <c r="JS76" s="99">
        <v>18.804021575984901</v>
      </c>
      <c r="JT76" s="99">
        <v>18.8524080675422</v>
      </c>
      <c r="JU76" s="99">
        <v>18.900794559099399</v>
      </c>
      <c r="JV76" s="99">
        <v>18.949181050656598</v>
      </c>
      <c r="JW76" s="99">
        <v>18.997567542213801</v>
      </c>
      <c r="JX76" s="99">
        <v>19.0459540337711</v>
      </c>
      <c r="JY76" s="99">
        <v>19.094340525328299</v>
      </c>
      <c r="JZ76" s="99">
        <v>19.142727016885502</v>
      </c>
      <c r="KA76" s="99">
        <v>19.191113508442701</v>
      </c>
      <c r="KB76" s="99">
        <v>19.2395</v>
      </c>
      <c r="KC76" s="99">
        <v>19.287886491557199</v>
      </c>
      <c r="KD76" s="99">
        <v>19.336272983114402</v>
      </c>
      <c r="KE76" s="99">
        <v>19.384659474671601</v>
      </c>
      <c r="KF76" s="99">
        <v>19.433045966228899</v>
      </c>
      <c r="KG76" s="99">
        <v>19.481432457786099</v>
      </c>
      <c r="KH76" s="99">
        <v>19.529818949343301</v>
      </c>
      <c r="KI76" s="99">
        <v>19.578205440900501</v>
      </c>
      <c r="KJ76" s="99">
        <v>19.6265919324577</v>
      </c>
      <c r="KK76" s="99">
        <v>19.674978424014999</v>
      </c>
      <c r="KL76" s="99">
        <v>19.723364915572201</v>
      </c>
      <c r="KM76" s="99">
        <v>19.7717514071294</v>
      </c>
      <c r="KN76" s="99">
        <v>19.8201378986866</v>
      </c>
      <c r="KO76" s="99">
        <v>19.868524390243898</v>
      </c>
      <c r="KP76" s="99">
        <v>19.916910881801101</v>
      </c>
      <c r="KQ76" s="99">
        <v>19.9652973733583</v>
      </c>
      <c r="KR76" s="99">
        <v>20.0136838649155</v>
      </c>
      <c r="KS76" s="99">
        <v>20.062070356472798</v>
      </c>
      <c r="KT76" s="99">
        <v>20.110456848030001</v>
      </c>
      <c r="KU76" s="99">
        <v>20.1588433395872</v>
      </c>
      <c r="KV76" s="99">
        <v>20.207229831144399</v>
      </c>
      <c r="KW76" s="99">
        <v>20.255616322701599</v>
      </c>
      <c r="KX76" s="99">
        <v>20.304002814258901</v>
      </c>
      <c r="KY76" s="99">
        <v>20.3523893058161</v>
      </c>
      <c r="KZ76" s="99">
        <v>20.400775797373299</v>
      </c>
      <c r="LA76" s="99">
        <v>20.449162288930498</v>
      </c>
      <c r="LB76" s="99">
        <v>20.497548780487801</v>
      </c>
      <c r="LC76" s="99">
        <v>20.545935272045</v>
      </c>
      <c r="LD76" s="99">
        <v>20.594321763602199</v>
      </c>
      <c r="LE76" s="99">
        <v>20.642708255159398</v>
      </c>
      <c r="LF76" s="99">
        <v>20.691094746716701</v>
      </c>
      <c r="LG76" s="99">
        <v>20.7394812382739</v>
      </c>
      <c r="LH76" s="99">
        <v>20.787867729831099</v>
      </c>
      <c r="LI76" s="99">
        <v>20.836254221388302</v>
      </c>
      <c r="LJ76" s="99">
        <v>20.884640712945501</v>
      </c>
      <c r="LK76" s="99">
        <v>20.9330272045028</v>
      </c>
      <c r="LL76" s="99">
        <v>20.981413696059999</v>
      </c>
      <c r="LM76" s="99">
        <v>21.029800187617202</v>
      </c>
      <c r="LN76" s="99">
        <v>21.078186679174401</v>
      </c>
      <c r="LO76" s="99">
        <v>21.126573170731699</v>
      </c>
      <c r="LP76" s="99">
        <v>21.174959662288899</v>
      </c>
      <c r="LQ76" s="99">
        <v>21.223346153846101</v>
      </c>
      <c r="LR76" s="99">
        <v>21.271732645403301</v>
      </c>
      <c r="LS76" s="99">
        <v>21.320119136960599</v>
      </c>
      <c r="LT76" s="99">
        <v>21.368505628517799</v>
      </c>
      <c r="LU76" s="99">
        <v>21.416892120075001</v>
      </c>
      <c r="LV76" s="99">
        <v>21.465278611632201</v>
      </c>
      <c r="LW76" s="99">
        <v>21.513665103189499</v>
      </c>
      <c r="LX76" s="99">
        <v>21.562051594746698</v>
      </c>
      <c r="LY76" s="99">
        <v>21.610438086303901</v>
      </c>
      <c r="LZ76" s="99">
        <v>21.6588245778611</v>
      </c>
      <c r="MA76" s="99">
        <v>21.7072110694183</v>
      </c>
      <c r="MB76" s="99">
        <v>21.755597560975598</v>
      </c>
      <c r="MC76" s="99">
        <v>21.803984052532801</v>
      </c>
      <c r="MD76" s="99">
        <v>21.85237054409</v>
      </c>
      <c r="ME76" s="99">
        <v>21.900757035647199</v>
      </c>
      <c r="MF76" s="99">
        <v>21.949143527204502</v>
      </c>
      <c r="MG76" s="99">
        <v>21.997530018761701</v>
      </c>
      <c r="MH76" s="99">
        <v>22.0459165103189</v>
      </c>
      <c r="MI76" s="99">
        <v>22.094303001876099</v>
      </c>
      <c r="MJ76" s="99">
        <v>22.142689493433402</v>
      </c>
      <c r="MK76" s="99">
        <v>22.191075984990601</v>
      </c>
      <c r="ML76" s="99">
        <v>22.2394624765478</v>
      </c>
      <c r="MM76" s="99">
        <v>22.287848968104999</v>
      </c>
      <c r="MN76" s="99">
        <v>22.336235459662198</v>
      </c>
      <c r="MO76" s="99">
        <v>22.384621951219501</v>
      </c>
      <c r="MP76" s="99">
        <v>22.4330084427767</v>
      </c>
      <c r="MQ76" s="99">
        <v>22.481394934333899</v>
      </c>
      <c r="MR76" s="99">
        <v>22.529781425891102</v>
      </c>
      <c r="MS76" s="99">
        <v>22.5781679174484</v>
      </c>
      <c r="MT76" s="99">
        <v>22.6265544090056</v>
      </c>
      <c r="MU76" s="99">
        <v>22.674940900562799</v>
      </c>
      <c r="MV76" s="99">
        <v>22.723327392120002</v>
      </c>
      <c r="MW76" s="99">
        <v>22.7717138836773</v>
      </c>
      <c r="MX76" s="99">
        <v>22.8201003752345</v>
      </c>
      <c r="MY76" s="99">
        <v>22.868486866791699</v>
      </c>
      <c r="MZ76" s="99">
        <v>22.916873358348901</v>
      </c>
      <c r="NA76" s="99">
        <v>22.965259849906101</v>
      </c>
      <c r="NB76" s="99">
        <v>23.013646341463399</v>
      </c>
      <c r="NC76" s="99">
        <v>23.062032833020599</v>
      </c>
      <c r="ND76" s="99">
        <v>23.110419324577801</v>
      </c>
      <c r="NE76" s="99">
        <v>23.158805816135001</v>
      </c>
      <c r="NF76" s="99">
        <v>23.207192307692299</v>
      </c>
      <c r="NG76" s="99">
        <v>23.255578799249498</v>
      </c>
      <c r="NH76" s="99">
        <v>23.303965290806701</v>
      </c>
      <c r="NI76" s="99">
        <v>23.3523517823639</v>
      </c>
      <c r="NJ76" s="99">
        <v>23.400738273921199</v>
      </c>
      <c r="NK76" s="99">
        <v>23.449124765478398</v>
      </c>
      <c r="NL76" s="99">
        <v>23.497511257035601</v>
      </c>
      <c r="NM76" s="99">
        <v>23.5458977485928</v>
      </c>
      <c r="NN76" s="99">
        <v>23.594284240150099</v>
      </c>
      <c r="NO76" s="99">
        <v>23.642670731707302</v>
      </c>
      <c r="NP76" s="99">
        <v>23.691057223264501</v>
      </c>
      <c r="NQ76" s="99">
        <v>23.7394437148217</v>
      </c>
      <c r="NR76" s="99">
        <v>23.787830206378899</v>
      </c>
      <c r="NS76" s="99">
        <v>23.836216697936202</v>
      </c>
      <c r="NT76" s="99">
        <v>23.884603189493401</v>
      </c>
      <c r="NU76" s="99">
        <v>23.9329896810506</v>
      </c>
      <c r="NV76" s="99">
        <v>23.981376172607799</v>
      </c>
      <c r="NW76" s="99">
        <v>24.029762664165101</v>
      </c>
      <c r="NX76" s="99">
        <v>24.078149155722301</v>
      </c>
      <c r="NY76" s="99">
        <v>24.1265356472795</v>
      </c>
      <c r="NZ76" s="99">
        <v>24.174922138836699</v>
      </c>
      <c r="OA76" s="99">
        <v>24.223308630394001</v>
      </c>
      <c r="OB76" s="99">
        <v>24.2716951219512</v>
      </c>
      <c r="OC76" s="99">
        <v>24.3200816135084</v>
      </c>
      <c r="OD76" s="99">
        <v>24.368468105065599</v>
      </c>
      <c r="OE76" s="99">
        <v>24.416854596622802</v>
      </c>
      <c r="OF76" s="99">
        <v>24.4652410881801</v>
      </c>
      <c r="OG76" s="99">
        <v>24.5136275797373</v>
      </c>
      <c r="OH76" s="99">
        <v>24.562014071294499</v>
      </c>
      <c r="OI76" s="99">
        <v>24.610400562851702</v>
      </c>
      <c r="OJ76" s="99">
        <v>24.658787054409</v>
      </c>
      <c r="OK76" s="99">
        <v>24.707173545966199</v>
      </c>
      <c r="OL76" s="99">
        <v>24.755560037523399</v>
      </c>
      <c r="OM76" s="99">
        <v>24.803946529080601</v>
      </c>
      <c r="ON76" s="99">
        <v>24.8523330206379</v>
      </c>
      <c r="OO76" s="99">
        <v>24.900719512195099</v>
      </c>
      <c r="OP76" s="99">
        <v>24.949106003752298</v>
      </c>
      <c r="OQ76" s="99">
        <v>24.997492495309501</v>
      </c>
      <c r="OR76" s="99">
        <v>25.0458789868668</v>
      </c>
      <c r="OS76" s="99">
        <v>25.094265478423999</v>
      </c>
      <c r="OT76" s="99">
        <v>25.142651969981198</v>
      </c>
      <c r="OU76" s="99">
        <v>25.191038461538401</v>
      </c>
      <c r="OV76" s="99">
        <v>25.2394249530956</v>
      </c>
      <c r="OW76" s="99">
        <v>25.287811444652899</v>
      </c>
      <c r="OX76" s="99">
        <v>25.336197936210102</v>
      </c>
      <c r="OY76" s="99">
        <v>25.384584427767301</v>
      </c>
      <c r="OZ76" s="99">
        <v>25.4329709193245</v>
      </c>
      <c r="PA76" s="99">
        <v>25.481357410881799</v>
      </c>
      <c r="PB76" s="99">
        <v>25.529743902439002</v>
      </c>
      <c r="PC76" s="99">
        <v>25.578130393996201</v>
      </c>
      <c r="PD76" s="99">
        <v>25.6265168855534</v>
      </c>
      <c r="PE76" s="99">
        <v>25.674903377110699</v>
      </c>
      <c r="PF76" s="99">
        <v>25.723289868667901</v>
      </c>
      <c r="PG76" s="99">
        <v>25.771676360225101</v>
      </c>
      <c r="PH76" s="99">
        <v>25.8200628517823</v>
      </c>
      <c r="PI76" s="99">
        <v>25.868449343339499</v>
      </c>
      <c r="PJ76" s="99">
        <v>25.916835834896801</v>
      </c>
      <c r="PK76" s="99">
        <v>25.965222326454001</v>
      </c>
      <c r="PL76" s="99">
        <v>26.0136088180112</v>
      </c>
      <c r="PM76" s="99">
        <v>26.061995309568399</v>
      </c>
      <c r="PN76" s="99">
        <v>26.110381801125701</v>
      </c>
      <c r="PO76" s="99">
        <v>26.1587682926829</v>
      </c>
      <c r="PP76" s="99">
        <v>26.2071547842401</v>
      </c>
      <c r="PQ76" s="99">
        <v>26.255541275797299</v>
      </c>
      <c r="PR76" s="99">
        <v>26.303927767354601</v>
      </c>
      <c r="PS76" s="99">
        <v>26.3523142589118</v>
      </c>
      <c r="PT76" s="99">
        <v>26.400700750468999</v>
      </c>
      <c r="PU76" s="99">
        <v>26.449087242026199</v>
      </c>
      <c r="PV76" s="99">
        <v>26.497473733583401</v>
      </c>
      <c r="PW76" s="99">
        <v>26.5458602251407</v>
      </c>
      <c r="PX76" s="99">
        <v>26.594246716697899</v>
      </c>
      <c r="PY76" s="99">
        <v>26.642633208255099</v>
      </c>
      <c r="PZ76" s="99">
        <v>26.691019699812301</v>
      </c>
      <c r="QA76" s="99">
        <v>26.7394061913696</v>
      </c>
      <c r="QB76" s="99">
        <v>26.787792682926799</v>
      </c>
      <c r="QC76" s="99">
        <v>26.836179174483998</v>
      </c>
      <c r="QD76" s="99">
        <v>26.884565666041201</v>
      </c>
      <c r="QE76" s="99">
        <v>26.9329521575985</v>
      </c>
      <c r="QF76" s="99">
        <v>26.981338649155699</v>
      </c>
      <c r="QG76" s="99">
        <v>27.029725140712898</v>
      </c>
      <c r="QH76" s="99">
        <v>27.078111632270101</v>
      </c>
      <c r="QI76" s="99">
        <v>27.1264981238274</v>
      </c>
      <c r="QJ76" s="99">
        <v>27.174884615384599</v>
      </c>
      <c r="QK76" s="99">
        <v>27.223271106941802</v>
      </c>
      <c r="QL76" s="99">
        <v>27.271657598499001</v>
      </c>
      <c r="QM76" s="99">
        <v>27.3200440900562</v>
      </c>
      <c r="QN76" s="99">
        <v>27.368430581613499</v>
      </c>
      <c r="QO76" s="99">
        <v>27.416817073170701</v>
      </c>
      <c r="QP76" s="99">
        <v>27.465203564727901</v>
      </c>
      <c r="QQ76" s="99">
        <v>27.5135900562851</v>
      </c>
      <c r="QR76" s="99">
        <v>27.561976547842399</v>
      </c>
      <c r="QS76" s="99">
        <v>27.610363039399601</v>
      </c>
      <c r="QT76" s="99">
        <v>27.658749530956801</v>
      </c>
      <c r="QU76" s="99">
        <v>27.707136022514</v>
      </c>
      <c r="QV76" s="99">
        <v>27.755522514071298</v>
      </c>
      <c r="QW76" s="99">
        <v>27.803909005628501</v>
      </c>
      <c r="QX76" s="99">
        <v>27.8522954971857</v>
      </c>
      <c r="QY76" s="99">
        <v>27.9006819887429</v>
      </c>
      <c r="QZ76" s="99">
        <v>27.949068480300099</v>
      </c>
      <c r="RA76" s="99">
        <v>27.997454971857401</v>
      </c>
      <c r="RB76" s="99">
        <v>28.0458414634146</v>
      </c>
      <c r="RC76" s="99">
        <v>28.094227954971799</v>
      </c>
      <c r="RD76" s="99">
        <v>28.142614446528999</v>
      </c>
      <c r="RE76" s="99">
        <v>28.191000938086301</v>
      </c>
      <c r="RF76" s="99">
        <v>28.2393874296435</v>
      </c>
      <c r="RG76" s="99">
        <v>28.287773921200699</v>
      </c>
      <c r="RH76" s="99">
        <v>28.336160412757899</v>
      </c>
      <c r="RI76" s="99">
        <v>28.384546904315201</v>
      </c>
      <c r="RJ76" s="99">
        <v>28.4329333958724</v>
      </c>
      <c r="RK76" s="99">
        <v>28.481319887429599</v>
      </c>
      <c r="RL76" s="99">
        <v>28.529706378986798</v>
      </c>
      <c r="RM76" s="99">
        <v>28.578092870544001</v>
      </c>
      <c r="RN76" s="99">
        <v>28.6264793621013</v>
      </c>
      <c r="RO76" s="99">
        <v>28.674865853658499</v>
      </c>
      <c r="RP76" s="99">
        <v>28.723252345215698</v>
      </c>
      <c r="RQ76" s="99">
        <v>28.771638836772901</v>
      </c>
      <c r="RR76" s="99">
        <v>28.8200253283302</v>
      </c>
      <c r="RS76" s="99">
        <v>28.868411819887399</v>
      </c>
      <c r="RT76" s="99">
        <v>28.916798311444602</v>
      </c>
      <c r="RU76" s="99">
        <v>28.965184803001801</v>
      </c>
      <c r="RV76" s="99">
        <v>29.0135712945591</v>
      </c>
      <c r="RW76" s="99">
        <v>29.061957786116299</v>
      </c>
      <c r="RX76" s="99">
        <v>29.110344277673502</v>
      </c>
      <c r="RY76" s="99">
        <v>29.158730769230701</v>
      </c>
      <c r="RZ76" s="99">
        <v>29.207117260787999</v>
      </c>
      <c r="SA76" s="99">
        <v>29.255503752345199</v>
      </c>
      <c r="SB76" s="99">
        <v>29.303890243902401</v>
      </c>
      <c r="SC76" s="99">
        <v>29.352276735459601</v>
      </c>
      <c r="SD76" s="99">
        <v>29.4006632270168</v>
      </c>
      <c r="SE76" s="99">
        <v>29.449049718574098</v>
      </c>
      <c r="SF76" s="99">
        <v>29.497436210131301</v>
      </c>
      <c r="SG76" s="99">
        <v>29.5458227016885</v>
      </c>
      <c r="SH76" s="99">
        <v>29.5942091932457</v>
      </c>
      <c r="SI76" s="99">
        <v>29.642595684802998</v>
      </c>
      <c r="SJ76" s="99">
        <v>29.690982176360201</v>
      </c>
      <c r="SK76" s="99">
        <v>29.7393686679174</v>
      </c>
      <c r="SL76" s="99">
        <v>29.7877551594746</v>
      </c>
      <c r="SM76" s="99">
        <v>29.836141651031902</v>
      </c>
      <c r="SN76" s="99">
        <v>29.884528142589101</v>
      </c>
      <c r="SO76" s="99">
        <v>29.9329146341463</v>
      </c>
      <c r="SP76" s="99">
        <v>29.981301125703499</v>
      </c>
      <c r="SQ76" s="99">
        <v>30.029687617260699</v>
      </c>
      <c r="SR76" s="99">
        <v>30.078074108818001</v>
      </c>
      <c r="SS76" s="99">
        <v>30.1264606003752</v>
      </c>
      <c r="ST76" s="99">
        <v>30.174847091932399</v>
      </c>
      <c r="SU76" s="99">
        <v>30.223233583489598</v>
      </c>
      <c r="SV76" s="99">
        <v>30.271620075046901</v>
      </c>
      <c r="SW76" s="99">
        <v>30.3200065666041</v>
      </c>
      <c r="SX76" s="99">
        <v>30.368393058161299</v>
      </c>
      <c r="SY76" s="99">
        <v>30.416779549718498</v>
      </c>
      <c r="SZ76" s="99">
        <v>30.465166041275801</v>
      </c>
      <c r="TA76" s="99">
        <v>30.513552532833</v>
      </c>
      <c r="TB76" s="99">
        <v>30.561939024390199</v>
      </c>
      <c r="TC76" s="99">
        <v>30.610325515947402</v>
      </c>
      <c r="TD76" s="99">
        <v>30.6587120075047</v>
      </c>
      <c r="TE76" s="99">
        <v>30.7070984990619</v>
      </c>
      <c r="TF76" s="99">
        <v>30.755484990619099</v>
      </c>
      <c r="TG76" s="99">
        <v>30.803871482176302</v>
      </c>
      <c r="TH76" s="99">
        <v>30.852257973733501</v>
      </c>
      <c r="TI76" s="99">
        <v>30.900644465290799</v>
      </c>
      <c r="TJ76" s="99">
        <v>30.949030956847999</v>
      </c>
      <c r="TK76" s="99">
        <v>30.997417448405201</v>
      </c>
      <c r="TL76" s="99">
        <v>31.045803939962401</v>
      </c>
      <c r="TM76" s="99">
        <v>31.094190431519699</v>
      </c>
      <c r="TN76" s="99">
        <v>31.142576923076899</v>
      </c>
      <c r="TO76" s="99">
        <v>31.190963414634101</v>
      </c>
      <c r="TP76" s="99">
        <v>31.2393499061913</v>
      </c>
      <c r="TQ76" s="99">
        <v>31.287736397748599</v>
      </c>
      <c r="TR76" s="99">
        <v>31.336122889305798</v>
      </c>
      <c r="TS76" s="99">
        <v>31.384509380863001</v>
      </c>
      <c r="TT76" s="99">
        <v>31.4328958724202</v>
      </c>
      <c r="TU76" s="99">
        <v>31.4812823639774</v>
      </c>
      <c r="TV76" s="99">
        <v>31.529668855534702</v>
      </c>
      <c r="TW76" s="99">
        <v>31.578055347091901</v>
      </c>
      <c r="TX76" s="99">
        <v>31.6264418386491</v>
      </c>
      <c r="TY76" s="99">
        <v>31.674828330206299</v>
      </c>
      <c r="TZ76" s="99">
        <v>31.723214821763602</v>
      </c>
      <c r="UA76" s="99">
        <v>31.771601313320801</v>
      </c>
      <c r="UB76" s="99">
        <v>31.819987804878</v>
      </c>
      <c r="UC76" s="99">
        <v>31.868374296435199</v>
      </c>
      <c r="UD76" s="99">
        <v>31.916760787992501</v>
      </c>
      <c r="UE76" s="99">
        <v>31.965147279549701</v>
      </c>
      <c r="UF76" s="99">
        <v>32.0135337711069</v>
      </c>
      <c r="UG76" s="99">
        <v>32.061920262664103</v>
      </c>
      <c r="UH76" s="99">
        <v>32.110306754221298</v>
      </c>
      <c r="UI76" s="99">
        <v>32.158693245778601</v>
      </c>
      <c r="UJ76" s="99">
        <v>32.207079737335803</v>
      </c>
      <c r="UK76" s="99">
        <v>32.255466228892999</v>
      </c>
      <c r="UL76" s="99">
        <v>32.303852720450202</v>
      </c>
      <c r="UM76" s="99">
        <v>32.352239212007497</v>
      </c>
      <c r="UN76" s="99">
        <v>32.4006257035647</v>
      </c>
      <c r="UO76" s="99">
        <v>32.449012195121902</v>
      </c>
      <c r="UP76" s="99">
        <v>32.497398686679098</v>
      </c>
      <c r="UQ76" s="99">
        <v>32.5457851782365</v>
      </c>
      <c r="UR76" s="99">
        <v>32.594171669793603</v>
      </c>
      <c r="US76" s="99">
        <v>32.642558161350799</v>
      </c>
      <c r="UT76" s="99">
        <v>32.690944652908001</v>
      </c>
    </row>
    <row r="77" spans="1:566" x14ac:dyDescent="0.2">
      <c r="A77" s="89">
        <v>35.5</v>
      </c>
      <c r="B77" s="90">
        <v>5.35</v>
      </c>
      <c r="C77" s="90">
        <v>5.4</v>
      </c>
      <c r="D77" s="90">
        <v>5.45</v>
      </c>
      <c r="E77" s="90">
        <v>5.5</v>
      </c>
      <c r="F77" s="90">
        <v>5.55</v>
      </c>
      <c r="G77" s="90">
        <v>5.59</v>
      </c>
      <c r="H77" s="90">
        <v>5.64</v>
      </c>
      <c r="I77" s="90">
        <v>5.69</v>
      </c>
      <c r="J77" s="90">
        <v>5.74</v>
      </c>
      <c r="K77" s="90">
        <v>5.79</v>
      </c>
      <c r="L77" s="90">
        <v>5.84</v>
      </c>
      <c r="M77" s="90">
        <v>5.88</v>
      </c>
      <c r="N77" s="90">
        <v>5.93</v>
      </c>
      <c r="O77" s="90">
        <v>5.98</v>
      </c>
      <c r="P77" s="90">
        <v>6.03</v>
      </c>
      <c r="Q77" s="90">
        <v>6.08</v>
      </c>
      <c r="R77" s="90">
        <v>6.12</v>
      </c>
      <c r="S77" s="90">
        <v>6.17</v>
      </c>
      <c r="T77" s="90">
        <v>6.22</v>
      </c>
      <c r="U77" s="91">
        <v>6.27</v>
      </c>
      <c r="V77" s="90">
        <v>6.32</v>
      </c>
      <c r="W77" s="90">
        <v>6.36</v>
      </c>
      <c r="X77" s="90">
        <v>6.41</v>
      </c>
      <c r="Y77" s="90">
        <v>6.46</v>
      </c>
      <c r="Z77" s="90">
        <v>6.51</v>
      </c>
      <c r="AA77" s="90">
        <v>6.56</v>
      </c>
      <c r="AB77" s="90">
        <v>6.6</v>
      </c>
      <c r="AC77" s="90">
        <v>6.65</v>
      </c>
      <c r="AD77" s="90">
        <v>6.7</v>
      </c>
      <c r="AE77" s="90">
        <v>6.75</v>
      </c>
      <c r="AF77" s="90">
        <v>6.8</v>
      </c>
      <c r="AG77" s="90">
        <v>6.84</v>
      </c>
      <c r="AH77" s="90">
        <v>6.89</v>
      </c>
      <c r="AI77" s="90">
        <v>6.94</v>
      </c>
      <c r="AJ77" s="90">
        <v>6.99</v>
      </c>
      <c r="AK77" s="90">
        <v>7.04</v>
      </c>
      <c r="AL77" s="90">
        <v>7.08</v>
      </c>
      <c r="AM77" s="90">
        <v>7.13</v>
      </c>
      <c r="AN77" s="90">
        <v>7.18</v>
      </c>
      <c r="AO77" s="91">
        <v>7.23</v>
      </c>
      <c r="AP77" s="90">
        <v>7.2768076923076999</v>
      </c>
      <c r="AQ77" s="90">
        <v>7.3248714821763601</v>
      </c>
      <c r="AR77" s="90">
        <v>7.3729352720450301</v>
      </c>
      <c r="AS77" s="90">
        <v>7.4209990619137001</v>
      </c>
      <c r="AT77" s="90">
        <v>7.4690628517823701</v>
      </c>
      <c r="AU77" s="90">
        <v>7.5171266416510401</v>
      </c>
      <c r="AV77" s="90">
        <v>7.5651904315197003</v>
      </c>
      <c r="AW77" s="90">
        <v>7.6132542213883703</v>
      </c>
      <c r="AX77" s="90">
        <v>7.6613180112570403</v>
      </c>
      <c r="AY77" s="90">
        <v>7.7093818011257103</v>
      </c>
      <c r="AZ77" s="90">
        <v>7.7574455909943802</v>
      </c>
      <c r="BA77" s="90">
        <v>7.8055093808630396</v>
      </c>
      <c r="BB77" s="90">
        <v>7.8535731707317096</v>
      </c>
      <c r="BC77" s="90">
        <v>7.9016369606003796</v>
      </c>
      <c r="BD77" s="90">
        <v>7.9497007504690496</v>
      </c>
      <c r="BE77" s="90">
        <v>7.9977645403377204</v>
      </c>
      <c r="BF77" s="90">
        <v>8.0458283302063798</v>
      </c>
      <c r="BG77" s="90">
        <v>8.0938921200750507</v>
      </c>
      <c r="BH77" s="90">
        <v>8.1419559099437198</v>
      </c>
      <c r="BI77" s="91">
        <v>8.1900196998123906</v>
      </c>
      <c r="BJ77" s="90">
        <v>8.2380834896810597</v>
      </c>
      <c r="BK77" s="99">
        <v>8.28614727954972</v>
      </c>
      <c r="BL77" s="99">
        <v>8.3342110694183908</v>
      </c>
      <c r="BM77" s="99">
        <v>8.3822748592870493</v>
      </c>
      <c r="BN77" s="99">
        <v>8.4303386491557308</v>
      </c>
      <c r="BO77" s="99">
        <v>8.4784024390243893</v>
      </c>
      <c r="BP77" s="99">
        <v>8.5264662288930602</v>
      </c>
      <c r="BQ77" s="99">
        <v>8.5745300187617293</v>
      </c>
      <c r="BR77" s="99">
        <v>8.6225938086303895</v>
      </c>
      <c r="BS77" s="99">
        <v>8.6706575984990693</v>
      </c>
      <c r="BT77" s="99">
        <v>8.7187213883677295</v>
      </c>
      <c r="BU77" s="99">
        <v>8.7667851782364004</v>
      </c>
      <c r="BV77" s="99">
        <v>8.8148489681050695</v>
      </c>
      <c r="BW77" s="99">
        <v>8.8629127579737403</v>
      </c>
      <c r="BX77" s="99">
        <v>8.9109765478424094</v>
      </c>
      <c r="BY77" s="99">
        <v>8.9590403377110697</v>
      </c>
      <c r="BZ77" s="99">
        <v>9.0071041275797405</v>
      </c>
      <c r="CA77" s="99">
        <v>9.0551679174484097</v>
      </c>
      <c r="CB77" s="99">
        <v>9.1032317073170805</v>
      </c>
      <c r="CC77" s="99">
        <v>9.1512954971857496</v>
      </c>
      <c r="CD77" s="99">
        <v>9.1993592870544099</v>
      </c>
      <c r="CE77" s="99">
        <v>9.2474230769230807</v>
      </c>
      <c r="CF77" s="99">
        <v>9.2954868667917498</v>
      </c>
      <c r="CG77" s="99">
        <v>9.3435506566604207</v>
      </c>
      <c r="CH77" s="99">
        <v>9.3916144465290898</v>
      </c>
      <c r="CI77" s="99">
        <v>9.4396782363977501</v>
      </c>
      <c r="CJ77" s="99">
        <v>9.4877420262664192</v>
      </c>
      <c r="CK77" s="99">
        <v>9.5358058161350794</v>
      </c>
      <c r="CL77" s="99">
        <v>9.5838696060037591</v>
      </c>
      <c r="CM77" s="99">
        <v>9.63193339587243</v>
      </c>
      <c r="CN77" s="99">
        <v>9.6799971857410902</v>
      </c>
      <c r="CO77" s="99">
        <v>9.7280609756097594</v>
      </c>
      <c r="CP77" s="99">
        <v>9.7761247654784196</v>
      </c>
      <c r="CQ77" s="99">
        <v>9.8241885553470993</v>
      </c>
      <c r="CR77" s="99">
        <v>9.8722523452157596</v>
      </c>
      <c r="CS77" s="99">
        <v>9.9203161350844304</v>
      </c>
      <c r="CT77" s="99">
        <v>9.9683799249530995</v>
      </c>
      <c r="CU77" s="99">
        <v>10.016443714821801</v>
      </c>
      <c r="CV77" s="99">
        <v>10.0645075046904</v>
      </c>
      <c r="CW77" s="99">
        <v>10.1125712945591</v>
      </c>
      <c r="CX77" s="99">
        <v>10.160635084427801</v>
      </c>
      <c r="CY77" s="99">
        <v>10.208698874296401</v>
      </c>
      <c r="CZ77" s="99">
        <v>10.2567626641651</v>
      </c>
      <c r="DA77" s="99">
        <v>10.304826454033799</v>
      </c>
      <c r="DB77" s="99">
        <v>10.352890243902401</v>
      </c>
      <c r="DC77" s="99">
        <v>10.4009540337711</v>
      </c>
      <c r="DD77" s="99">
        <v>10.449017823639799</v>
      </c>
      <c r="DE77" s="99">
        <v>10.497081613508399</v>
      </c>
      <c r="DF77" s="99">
        <v>10.5451454033771</v>
      </c>
      <c r="DG77" s="99">
        <v>10.5932091932458</v>
      </c>
      <c r="DH77" s="99">
        <v>10.6412729831144</v>
      </c>
      <c r="DI77" s="99">
        <v>10.689336772983101</v>
      </c>
      <c r="DJ77" s="99">
        <v>10.7374005628518</v>
      </c>
      <c r="DK77" s="99">
        <v>10.785464352720499</v>
      </c>
      <c r="DL77" s="99">
        <v>10.833528142589101</v>
      </c>
      <c r="DM77" s="99">
        <v>10.8815919324578</v>
      </c>
      <c r="DN77" s="99">
        <v>10.929655722326499</v>
      </c>
      <c r="DO77" s="99">
        <v>10.977719512195099</v>
      </c>
      <c r="DP77" s="99">
        <v>11.0257833020638</v>
      </c>
      <c r="DQ77" s="99">
        <v>11.0738470919325</v>
      </c>
      <c r="DR77" s="99">
        <v>11.121910881801099</v>
      </c>
      <c r="DS77" s="99">
        <v>11.169974671669801</v>
      </c>
      <c r="DT77" s="99">
        <v>11.2180384615385</v>
      </c>
      <c r="DU77" s="99">
        <v>11.2661022514071</v>
      </c>
      <c r="DV77" s="99">
        <v>11.314166041275801</v>
      </c>
      <c r="DW77" s="99">
        <v>11.3622298311445</v>
      </c>
      <c r="DX77" s="99">
        <v>11.4102936210131</v>
      </c>
      <c r="DY77" s="99">
        <v>11.458357410881799</v>
      </c>
      <c r="DZ77" s="99">
        <v>11.5064212007505</v>
      </c>
      <c r="EA77" s="99">
        <v>11.5544849906191</v>
      </c>
      <c r="EB77" s="99">
        <v>11.602548780487799</v>
      </c>
      <c r="EC77" s="99">
        <v>11.6506125703565</v>
      </c>
      <c r="ED77" s="99">
        <v>11.6986763602251</v>
      </c>
      <c r="EE77" s="99">
        <v>11.7467401500938</v>
      </c>
      <c r="EF77" s="99">
        <v>11.794803939962501</v>
      </c>
      <c r="EG77" s="99">
        <v>11.8428677298311</v>
      </c>
      <c r="EH77" s="99">
        <v>11.8909315196998</v>
      </c>
      <c r="EI77" s="99">
        <v>11.938995309568501</v>
      </c>
      <c r="EJ77" s="99">
        <v>11.987059099437101</v>
      </c>
      <c r="EK77" s="99">
        <v>12.0351228893058</v>
      </c>
      <c r="EL77" s="99">
        <v>12.083186679174499</v>
      </c>
      <c r="EM77" s="99">
        <v>12.1312504690432</v>
      </c>
      <c r="EN77" s="99">
        <v>12.1793142589118</v>
      </c>
      <c r="EO77" s="99">
        <v>12.227378048780499</v>
      </c>
      <c r="EP77" s="99">
        <v>12.275441838649201</v>
      </c>
      <c r="EQ77" s="99">
        <v>12.3235056285178</v>
      </c>
      <c r="ER77" s="99">
        <v>12.3715694183865</v>
      </c>
      <c r="ES77" s="99">
        <v>12.419633208255201</v>
      </c>
      <c r="ET77" s="99">
        <v>12.467696998123801</v>
      </c>
      <c r="EU77" s="99">
        <v>12.5157607879925</v>
      </c>
      <c r="EV77" s="99">
        <v>12.563824577861199</v>
      </c>
      <c r="EW77" s="99">
        <v>12.611888367729801</v>
      </c>
      <c r="EX77" s="99">
        <v>12.6599521575985</v>
      </c>
      <c r="EY77" s="99">
        <v>12.708015947467199</v>
      </c>
      <c r="EZ77" s="99">
        <v>12.756079737335799</v>
      </c>
      <c r="FA77" s="99">
        <v>12.8041435272045</v>
      </c>
      <c r="FB77" s="99">
        <v>12.8522073170732</v>
      </c>
      <c r="FC77" s="99">
        <v>12.900271106941799</v>
      </c>
      <c r="FD77" s="99">
        <v>12.948334896810501</v>
      </c>
      <c r="FE77" s="99">
        <v>12.9963986866792</v>
      </c>
      <c r="FF77" s="99">
        <v>13.0444624765478</v>
      </c>
      <c r="FG77" s="99">
        <v>13.092526266416501</v>
      </c>
      <c r="FH77" s="99">
        <v>13.1405900562852</v>
      </c>
      <c r="FI77" s="99">
        <v>13.1886538461538</v>
      </c>
      <c r="FJ77" s="99">
        <v>13.236717636022499</v>
      </c>
      <c r="FK77" s="99">
        <v>13.2847814258912</v>
      </c>
      <c r="FL77" s="99">
        <v>13.3328452157599</v>
      </c>
      <c r="FM77" s="99">
        <v>13.380909005628499</v>
      </c>
      <c r="FN77" s="99">
        <v>13.4289727954972</v>
      </c>
      <c r="FO77" s="99">
        <v>13.4770365853659</v>
      </c>
      <c r="FP77" s="99">
        <v>13.5251003752345</v>
      </c>
      <c r="FQ77" s="99">
        <v>13.573164165103201</v>
      </c>
      <c r="FR77" s="99">
        <v>13.6212279549719</v>
      </c>
      <c r="FS77" s="99">
        <v>13.6692917448405</v>
      </c>
      <c r="FT77" s="99">
        <v>13.717355534709201</v>
      </c>
      <c r="FU77" s="99">
        <v>13.7654193245779</v>
      </c>
      <c r="FV77" s="99">
        <v>13.8134831144465</v>
      </c>
      <c r="FW77" s="99">
        <v>13.861546904315199</v>
      </c>
      <c r="FX77" s="99">
        <v>13.9096106941839</v>
      </c>
      <c r="FY77" s="99">
        <v>13.9576744840525</v>
      </c>
      <c r="FZ77" s="99">
        <v>14.0057382739212</v>
      </c>
      <c r="GA77" s="99">
        <v>14.053802063789901</v>
      </c>
      <c r="GB77" s="99">
        <v>14.1018658536585</v>
      </c>
      <c r="GC77" s="99">
        <v>14.1499296435272</v>
      </c>
      <c r="GD77" s="99">
        <v>14.197993433395901</v>
      </c>
      <c r="GE77" s="99">
        <v>14.246057223264501</v>
      </c>
      <c r="GF77" s="99">
        <v>14.2941210131332</v>
      </c>
      <c r="GG77" s="99">
        <v>14.342184803001899</v>
      </c>
      <c r="GH77" s="99">
        <v>14.390248592870501</v>
      </c>
      <c r="GI77" s="99">
        <v>14.4383123827392</v>
      </c>
      <c r="GJ77" s="99">
        <v>14.486376172607899</v>
      </c>
      <c r="GK77" s="99">
        <v>14.534439962476499</v>
      </c>
      <c r="GL77" s="99">
        <v>14.5825037523452</v>
      </c>
      <c r="GM77" s="99">
        <v>14.6305675422139</v>
      </c>
      <c r="GN77" s="99">
        <v>14.678631332082601</v>
      </c>
      <c r="GO77" s="99">
        <v>14.726695121951201</v>
      </c>
      <c r="GP77" s="99">
        <v>14.7747589118199</v>
      </c>
      <c r="GQ77" s="99">
        <v>14.822822701688599</v>
      </c>
      <c r="GR77" s="99">
        <v>14.870886491557201</v>
      </c>
      <c r="GS77" s="99">
        <v>14.9189502814259</v>
      </c>
      <c r="GT77" s="99">
        <v>14.967014071294599</v>
      </c>
      <c r="GU77" s="99">
        <v>15.015077861163199</v>
      </c>
      <c r="GV77" s="99">
        <v>15.0631416510319</v>
      </c>
      <c r="GW77" s="99">
        <v>15.1112054409006</v>
      </c>
      <c r="GX77" s="99">
        <v>15.159269230769199</v>
      </c>
      <c r="GY77" s="99">
        <v>15.2073330206379</v>
      </c>
      <c r="GZ77" s="99">
        <v>15.2553968105066</v>
      </c>
      <c r="HA77" s="99">
        <v>15.3034606003752</v>
      </c>
      <c r="HB77" s="99">
        <v>15.351524390243901</v>
      </c>
      <c r="HC77" s="99">
        <v>15.3995881801126</v>
      </c>
      <c r="HD77" s="99">
        <v>15.447651969981299</v>
      </c>
      <c r="HE77" s="99">
        <v>15.495715759849899</v>
      </c>
      <c r="HF77" s="99">
        <v>15.5437795497186</v>
      </c>
      <c r="HG77" s="99">
        <v>15.5918433395873</v>
      </c>
      <c r="HH77" s="99">
        <v>15.639907129455899</v>
      </c>
      <c r="HI77" s="99">
        <v>15.6879709193246</v>
      </c>
      <c r="HJ77" s="99">
        <v>15.7360347091933</v>
      </c>
      <c r="HK77" s="99">
        <v>15.7840984990619</v>
      </c>
      <c r="HL77" s="99">
        <v>15.832162288930601</v>
      </c>
      <c r="HM77" s="99">
        <v>15.8802260787993</v>
      </c>
      <c r="HN77" s="99">
        <v>15.9282898686679</v>
      </c>
      <c r="HO77" s="99">
        <v>15.976353658536601</v>
      </c>
      <c r="HP77" s="99">
        <v>16.024417448405298</v>
      </c>
      <c r="HQ77" s="99">
        <v>16.072481238273902</v>
      </c>
      <c r="HR77" s="99">
        <v>16.120545028142601</v>
      </c>
      <c r="HS77" s="99">
        <v>16.1686088180113</v>
      </c>
      <c r="HT77" s="99">
        <v>16.21667260788</v>
      </c>
      <c r="HU77" s="99">
        <v>16.264736397748599</v>
      </c>
      <c r="HV77" s="99">
        <v>16.312800187617299</v>
      </c>
      <c r="HW77" s="99">
        <v>16.360863977486002</v>
      </c>
      <c r="HX77" s="99">
        <v>16.408927767354601</v>
      </c>
      <c r="HY77" s="99">
        <v>16.456991557223301</v>
      </c>
      <c r="HZ77" s="99">
        <v>16.505055347092</v>
      </c>
      <c r="IA77" s="99">
        <v>16.5531191369606</v>
      </c>
      <c r="IB77" s="99">
        <v>16.601182926829299</v>
      </c>
      <c r="IC77" s="99">
        <v>16.649246716697998</v>
      </c>
      <c r="ID77" s="99">
        <v>16.697310506566598</v>
      </c>
      <c r="IE77" s="99">
        <v>16.745374296435301</v>
      </c>
      <c r="IF77" s="99">
        <v>16.793438086304</v>
      </c>
      <c r="IG77" s="99">
        <v>16.8415018761726</v>
      </c>
      <c r="IH77" s="99">
        <v>16.8895656660413</v>
      </c>
      <c r="II77" s="99">
        <v>16.937629455909999</v>
      </c>
      <c r="IJ77" s="99">
        <v>16.985693245778599</v>
      </c>
      <c r="IK77" s="99">
        <v>17.033757035647302</v>
      </c>
      <c r="IL77" s="99">
        <v>17.081820825516001</v>
      </c>
      <c r="IM77" s="99">
        <v>17.129884615384601</v>
      </c>
      <c r="IN77" s="99">
        <v>17.1779484052533</v>
      </c>
      <c r="IO77" s="99">
        <v>17.226012195121999</v>
      </c>
      <c r="IP77" s="99">
        <v>17.274075984990599</v>
      </c>
      <c r="IQ77" s="99">
        <v>17.322139774859298</v>
      </c>
      <c r="IR77" s="99">
        <v>17.370203564728001</v>
      </c>
      <c r="IS77" s="99">
        <v>17.418267354596601</v>
      </c>
      <c r="IT77" s="99">
        <v>17.4663311444653</v>
      </c>
      <c r="IU77" s="99">
        <v>17.514394934334</v>
      </c>
      <c r="IV77" s="99">
        <v>17.562458724202699</v>
      </c>
      <c r="IW77" s="99">
        <v>17.610522514071299</v>
      </c>
      <c r="IX77" s="99">
        <v>17.658586303940002</v>
      </c>
      <c r="IY77" s="99">
        <v>17.706650093808701</v>
      </c>
      <c r="IZ77" s="99">
        <v>17.754713883677301</v>
      </c>
      <c r="JA77" s="99">
        <v>17.802777673546</v>
      </c>
      <c r="JB77" s="99">
        <v>17.850841463414699</v>
      </c>
      <c r="JC77" s="99">
        <v>17.898905253283299</v>
      </c>
      <c r="JD77" s="99">
        <v>17.946969043151999</v>
      </c>
      <c r="JE77" s="99">
        <v>17.995032833020701</v>
      </c>
      <c r="JF77" s="99">
        <v>18.043096622889301</v>
      </c>
      <c r="JG77" s="99">
        <v>18.091160412758001</v>
      </c>
      <c r="JH77" s="99">
        <v>18.1392242026267</v>
      </c>
      <c r="JI77" s="99">
        <v>18.1872879924953</v>
      </c>
      <c r="JJ77" s="99">
        <v>18.235351782363999</v>
      </c>
      <c r="JK77" s="99">
        <v>18.283415572232698</v>
      </c>
      <c r="JL77" s="99">
        <v>18.331479362101302</v>
      </c>
      <c r="JM77" s="99">
        <v>18.379543151970001</v>
      </c>
      <c r="JN77" s="99">
        <v>18.4276069418387</v>
      </c>
      <c r="JO77" s="99">
        <v>18.4756707317073</v>
      </c>
      <c r="JP77" s="99">
        <v>18.523734521575999</v>
      </c>
      <c r="JQ77" s="99">
        <v>18.571798311444699</v>
      </c>
      <c r="JR77" s="99">
        <v>18.619862101313299</v>
      </c>
      <c r="JS77" s="99">
        <v>18.667925891182001</v>
      </c>
      <c r="JT77" s="99">
        <v>18.715989681050701</v>
      </c>
      <c r="JU77" s="99">
        <v>18.7640534709194</v>
      </c>
      <c r="JV77" s="99">
        <v>18.812117260788</v>
      </c>
      <c r="JW77" s="99">
        <v>18.860181050656699</v>
      </c>
      <c r="JX77" s="99">
        <v>18.908244840525398</v>
      </c>
      <c r="JY77" s="99">
        <v>18.956308630393998</v>
      </c>
      <c r="JZ77" s="99">
        <v>19.004372420262701</v>
      </c>
      <c r="KA77" s="99">
        <v>19.0524362101314</v>
      </c>
      <c r="KB77" s="99">
        <v>19.1005</v>
      </c>
      <c r="KC77" s="99">
        <v>19.1485637898687</v>
      </c>
      <c r="KD77" s="99">
        <v>19.196627579737399</v>
      </c>
      <c r="KE77" s="99">
        <v>19.244691369605999</v>
      </c>
      <c r="KF77" s="99">
        <v>19.292755159474702</v>
      </c>
      <c r="KG77" s="99">
        <v>19.340818949343401</v>
      </c>
      <c r="KH77" s="99">
        <v>19.388882739212001</v>
      </c>
      <c r="KI77" s="99">
        <v>19.4369465290807</v>
      </c>
      <c r="KJ77" s="99">
        <v>19.485010318949399</v>
      </c>
      <c r="KK77" s="99">
        <v>19.533074108817999</v>
      </c>
      <c r="KL77" s="99">
        <v>19.581137898686698</v>
      </c>
      <c r="KM77" s="99">
        <v>19.629201688555401</v>
      </c>
      <c r="KN77" s="99">
        <v>19.677265478424001</v>
      </c>
      <c r="KO77" s="99">
        <v>19.7253292682927</v>
      </c>
      <c r="KP77" s="99">
        <v>19.7733930581614</v>
      </c>
      <c r="KQ77" s="99">
        <v>19.82145684803</v>
      </c>
      <c r="KR77" s="99">
        <v>19.869520637898699</v>
      </c>
      <c r="KS77" s="99">
        <v>19.917584427767402</v>
      </c>
      <c r="KT77" s="99">
        <v>19.965648217636002</v>
      </c>
      <c r="KU77" s="99">
        <v>20.013712007504701</v>
      </c>
      <c r="KV77" s="99">
        <v>20.0617757973734</v>
      </c>
      <c r="KW77" s="99">
        <v>20.109839587242099</v>
      </c>
      <c r="KX77" s="99">
        <v>20.157903377110699</v>
      </c>
      <c r="KY77" s="99">
        <v>20.205967166979399</v>
      </c>
      <c r="KZ77" s="99">
        <v>20.254030956848101</v>
      </c>
      <c r="LA77" s="99">
        <v>20.302094746716701</v>
      </c>
      <c r="LB77" s="99">
        <v>20.350158536585401</v>
      </c>
      <c r="LC77" s="99">
        <v>20.3982223264541</v>
      </c>
      <c r="LD77" s="99">
        <v>20.4462861163227</v>
      </c>
      <c r="LE77" s="99">
        <v>20.494349906191399</v>
      </c>
      <c r="LF77" s="99">
        <v>20.542413696060098</v>
      </c>
      <c r="LG77" s="99">
        <v>20.590477485928702</v>
      </c>
      <c r="LH77" s="99">
        <v>20.638541275797401</v>
      </c>
      <c r="LI77" s="99">
        <v>20.6866050656661</v>
      </c>
      <c r="LJ77" s="99">
        <v>20.7346688555347</v>
      </c>
      <c r="LK77" s="99">
        <v>20.782732645403399</v>
      </c>
      <c r="LL77" s="99">
        <v>20.830796435272099</v>
      </c>
      <c r="LM77" s="99">
        <v>20.878860225140699</v>
      </c>
      <c r="LN77" s="99">
        <v>20.926924015009401</v>
      </c>
      <c r="LO77" s="99">
        <v>20.974987804878101</v>
      </c>
      <c r="LP77" s="99">
        <v>21.0230515947467</v>
      </c>
      <c r="LQ77" s="99">
        <v>21.0711153846154</v>
      </c>
      <c r="LR77" s="99">
        <v>21.119179174484099</v>
      </c>
      <c r="LS77" s="99">
        <v>21.167242964352699</v>
      </c>
      <c r="LT77" s="99">
        <v>21.215306754221402</v>
      </c>
      <c r="LU77" s="99">
        <v>21.263370544090101</v>
      </c>
      <c r="LV77" s="99">
        <v>21.3114343339588</v>
      </c>
      <c r="LW77" s="99">
        <v>21.3594981238274</v>
      </c>
      <c r="LX77" s="99">
        <v>21.4075619136961</v>
      </c>
      <c r="LY77" s="99">
        <v>21.455625703564799</v>
      </c>
      <c r="LZ77" s="99">
        <v>21.503689493433399</v>
      </c>
      <c r="MA77" s="99">
        <v>21.551753283302101</v>
      </c>
      <c r="MB77" s="99">
        <v>21.599817073170801</v>
      </c>
      <c r="MC77" s="99">
        <v>21.647880863039401</v>
      </c>
      <c r="MD77" s="99">
        <v>21.6959446529081</v>
      </c>
      <c r="ME77" s="99">
        <v>21.744008442776799</v>
      </c>
      <c r="MF77" s="99">
        <v>21.792072232645399</v>
      </c>
      <c r="MG77" s="99">
        <v>21.840136022514098</v>
      </c>
      <c r="MH77" s="99">
        <v>21.888199812382801</v>
      </c>
      <c r="MI77" s="99">
        <v>21.936263602251401</v>
      </c>
      <c r="MJ77" s="99">
        <v>21.9843273921201</v>
      </c>
      <c r="MK77" s="99">
        <v>22.0323911819888</v>
      </c>
      <c r="ML77" s="99">
        <v>22.080454971857399</v>
      </c>
      <c r="MM77" s="99">
        <v>22.128518761726099</v>
      </c>
      <c r="MN77" s="99">
        <v>22.176582551594802</v>
      </c>
      <c r="MO77" s="99">
        <v>22.224646341463401</v>
      </c>
      <c r="MP77" s="99">
        <v>22.272710131332101</v>
      </c>
      <c r="MQ77" s="99">
        <v>22.3207739212008</v>
      </c>
      <c r="MR77" s="99">
        <v>22.3688377110694</v>
      </c>
      <c r="MS77" s="99">
        <v>22.416901500938099</v>
      </c>
      <c r="MT77" s="99">
        <v>22.464965290806798</v>
      </c>
      <c r="MU77" s="99">
        <v>22.513029080675398</v>
      </c>
      <c r="MV77" s="99">
        <v>22.561092870544101</v>
      </c>
      <c r="MW77" s="99">
        <v>22.6091566604128</v>
      </c>
      <c r="MX77" s="99">
        <v>22.6572204502815</v>
      </c>
      <c r="MY77" s="99">
        <v>22.7052842401501</v>
      </c>
      <c r="MZ77" s="99">
        <v>22.753348030018799</v>
      </c>
      <c r="NA77" s="99">
        <v>22.801411819887502</v>
      </c>
      <c r="NB77" s="99">
        <v>22.849475609756102</v>
      </c>
      <c r="NC77" s="99">
        <v>22.897539399624801</v>
      </c>
      <c r="ND77" s="99">
        <v>22.9456031894935</v>
      </c>
      <c r="NE77" s="99">
        <v>22.9936669793621</v>
      </c>
      <c r="NF77" s="99">
        <v>23.041730769230799</v>
      </c>
      <c r="NG77" s="99">
        <v>23.089794559099499</v>
      </c>
      <c r="NH77" s="99">
        <v>23.137858348968098</v>
      </c>
      <c r="NI77" s="99">
        <v>23.185922138836801</v>
      </c>
      <c r="NJ77" s="99">
        <v>23.233985928705501</v>
      </c>
      <c r="NK77" s="99">
        <v>23.2820497185741</v>
      </c>
      <c r="NL77" s="99">
        <v>23.3301135084428</v>
      </c>
      <c r="NM77" s="99">
        <v>23.378177298311499</v>
      </c>
      <c r="NN77" s="99">
        <v>23.426241088180099</v>
      </c>
      <c r="NO77" s="99">
        <v>23.474304878048802</v>
      </c>
      <c r="NP77" s="99">
        <v>23.522368667917501</v>
      </c>
      <c r="NQ77" s="99">
        <v>23.570432457786101</v>
      </c>
      <c r="NR77" s="99">
        <v>23.6184962476548</v>
      </c>
      <c r="NS77" s="99">
        <v>23.666560037523499</v>
      </c>
      <c r="NT77" s="99">
        <v>23.714623827392099</v>
      </c>
      <c r="NU77" s="99">
        <v>23.762687617260799</v>
      </c>
      <c r="NV77" s="99">
        <v>23.810751407129501</v>
      </c>
      <c r="NW77" s="99">
        <v>23.858815196998201</v>
      </c>
      <c r="NX77" s="99">
        <v>23.906878986866801</v>
      </c>
      <c r="NY77" s="99">
        <v>23.9549427767355</v>
      </c>
      <c r="NZ77" s="99">
        <v>24.003006566604199</v>
      </c>
      <c r="OA77" s="99">
        <v>24.051070356472799</v>
      </c>
      <c r="OB77" s="99">
        <v>24.099134146341498</v>
      </c>
      <c r="OC77" s="99">
        <v>24.147197936210201</v>
      </c>
      <c r="OD77" s="99">
        <v>24.195261726078801</v>
      </c>
      <c r="OE77" s="99">
        <v>24.2433255159475</v>
      </c>
      <c r="OF77" s="99">
        <v>24.2913893058162</v>
      </c>
      <c r="OG77" s="99">
        <v>24.339453095684799</v>
      </c>
      <c r="OH77" s="99">
        <v>24.387516885553499</v>
      </c>
      <c r="OI77" s="99">
        <v>24.435580675422202</v>
      </c>
      <c r="OJ77" s="99">
        <v>24.483644465290801</v>
      </c>
      <c r="OK77" s="99">
        <v>24.531708255159501</v>
      </c>
      <c r="OL77" s="99">
        <v>24.5797720450282</v>
      </c>
      <c r="OM77" s="99">
        <v>24.6278358348968</v>
      </c>
      <c r="ON77" s="99">
        <v>24.675899624765499</v>
      </c>
      <c r="OO77" s="99">
        <v>24.723963414634198</v>
      </c>
      <c r="OP77" s="99">
        <v>24.772027204502798</v>
      </c>
      <c r="OQ77" s="99">
        <v>24.820090994371501</v>
      </c>
      <c r="OR77" s="99">
        <v>24.8681547842402</v>
      </c>
      <c r="OS77" s="99">
        <v>24.9162185741088</v>
      </c>
      <c r="OT77" s="99">
        <v>24.9642823639775</v>
      </c>
      <c r="OU77" s="99">
        <v>25.012346153846199</v>
      </c>
      <c r="OV77" s="99">
        <v>25.060409943714799</v>
      </c>
      <c r="OW77" s="99">
        <v>25.108473733583502</v>
      </c>
      <c r="OX77" s="99">
        <v>25.156537523452201</v>
      </c>
      <c r="OY77" s="99">
        <v>25.2046013133209</v>
      </c>
      <c r="OZ77" s="99">
        <v>25.2526651031895</v>
      </c>
      <c r="PA77" s="99">
        <v>25.300728893058199</v>
      </c>
      <c r="PB77" s="99">
        <v>25.348792682926899</v>
      </c>
      <c r="PC77" s="99">
        <v>25.396856472795498</v>
      </c>
      <c r="PD77" s="99">
        <v>25.444920262664201</v>
      </c>
      <c r="PE77" s="99">
        <v>25.492984052532901</v>
      </c>
      <c r="PF77" s="99">
        <v>25.5410478424015</v>
      </c>
      <c r="PG77" s="99">
        <v>25.5891116322702</v>
      </c>
      <c r="PH77" s="99">
        <v>25.637175422138899</v>
      </c>
      <c r="PI77" s="99">
        <v>25.685239212007499</v>
      </c>
      <c r="PJ77" s="99">
        <v>25.733303001876202</v>
      </c>
      <c r="PK77" s="99">
        <v>25.781366791744901</v>
      </c>
      <c r="PL77" s="99">
        <v>25.829430581613501</v>
      </c>
      <c r="PM77" s="99">
        <v>25.8774943714822</v>
      </c>
      <c r="PN77" s="99">
        <v>25.925558161350899</v>
      </c>
      <c r="PO77" s="99">
        <v>25.973621951219499</v>
      </c>
      <c r="PP77" s="99">
        <v>26.021685741088199</v>
      </c>
      <c r="PQ77" s="99">
        <v>26.069749530956901</v>
      </c>
      <c r="PR77" s="99">
        <v>26.117813320825501</v>
      </c>
      <c r="PS77" s="99">
        <v>26.165877110694201</v>
      </c>
      <c r="PT77" s="99">
        <v>26.2139409005629</v>
      </c>
      <c r="PU77" s="99">
        <v>26.2620046904315</v>
      </c>
      <c r="PV77" s="99">
        <v>26.310068480300199</v>
      </c>
      <c r="PW77" s="99">
        <v>26.358132270168898</v>
      </c>
      <c r="PX77" s="99">
        <v>26.406196060037601</v>
      </c>
      <c r="PY77" s="99">
        <v>26.454259849906201</v>
      </c>
      <c r="PZ77" s="99">
        <v>26.5023236397749</v>
      </c>
      <c r="QA77" s="99">
        <v>26.5503874296436</v>
      </c>
      <c r="QB77" s="99">
        <v>26.598451219512199</v>
      </c>
      <c r="QC77" s="99">
        <v>26.646515009380899</v>
      </c>
      <c r="QD77" s="99">
        <v>26.694578799249602</v>
      </c>
      <c r="QE77" s="99">
        <v>26.742642589118201</v>
      </c>
      <c r="QF77" s="99">
        <v>26.790706378986901</v>
      </c>
      <c r="QG77" s="99">
        <v>26.8387701688556</v>
      </c>
      <c r="QH77" s="99">
        <v>26.8868339587242</v>
      </c>
      <c r="QI77" s="99">
        <v>26.934897748592899</v>
      </c>
      <c r="QJ77" s="99">
        <v>26.982961538461598</v>
      </c>
      <c r="QK77" s="99">
        <v>27.031025328330202</v>
      </c>
      <c r="QL77" s="99">
        <v>27.079089118198901</v>
      </c>
      <c r="QM77" s="99">
        <v>27.1271529080676</v>
      </c>
      <c r="QN77" s="99">
        <v>27.1752166979362</v>
      </c>
      <c r="QO77" s="99">
        <v>27.2232804878049</v>
      </c>
      <c r="QP77" s="99">
        <v>27.271344277673599</v>
      </c>
      <c r="QQ77" s="99">
        <v>27.319408067542199</v>
      </c>
      <c r="QR77" s="99">
        <v>27.367471857410901</v>
      </c>
      <c r="QS77" s="99">
        <v>27.415535647279601</v>
      </c>
      <c r="QT77" s="99">
        <v>27.463599437148201</v>
      </c>
      <c r="QU77" s="99">
        <v>27.5116632270169</v>
      </c>
      <c r="QV77" s="99">
        <v>27.559727016885599</v>
      </c>
      <c r="QW77" s="99">
        <v>27.607790806754299</v>
      </c>
      <c r="QX77" s="99">
        <v>27.655854596622898</v>
      </c>
      <c r="QY77" s="99">
        <v>27.703918386491601</v>
      </c>
      <c r="QZ77" s="99">
        <v>27.751982176360301</v>
      </c>
      <c r="RA77" s="99">
        <v>27.8000459662289</v>
      </c>
      <c r="RB77" s="99">
        <v>27.8481097560976</v>
      </c>
      <c r="RC77" s="99">
        <v>27.896173545966299</v>
      </c>
      <c r="RD77" s="99">
        <v>27.944237335834899</v>
      </c>
      <c r="RE77" s="99">
        <v>27.992301125703602</v>
      </c>
      <c r="RF77" s="99">
        <v>28.040364915572301</v>
      </c>
      <c r="RG77" s="99">
        <v>28.088428705440901</v>
      </c>
      <c r="RH77" s="99">
        <v>28.1364924953096</v>
      </c>
      <c r="RI77" s="99">
        <v>28.184556285178299</v>
      </c>
      <c r="RJ77" s="99">
        <v>28.232620075046899</v>
      </c>
      <c r="RK77" s="99">
        <v>28.280683864915598</v>
      </c>
      <c r="RL77" s="99">
        <v>28.328747654784301</v>
      </c>
      <c r="RM77" s="99">
        <v>28.376811444652901</v>
      </c>
      <c r="RN77" s="99">
        <v>28.4248752345216</v>
      </c>
      <c r="RO77" s="99">
        <v>28.4729390243903</v>
      </c>
      <c r="RP77" s="99">
        <v>28.5210028142589</v>
      </c>
      <c r="RQ77" s="99">
        <v>28.569066604127599</v>
      </c>
      <c r="RR77" s="99">
        <v>28.617130393996302</v>
      </c>
      <c r="RS77" s="99">
        <v>28.665194183864902</v>
      </c>
      <c r="RT77" s="99">
        <v>28.713257973733601</v>
      </c>
      <c r="RU77" s="99">
        <v>28.7613217636023</v>
      </c>
      <c r="RV77" s="99">
        <v>28.8093855534709</v>
      </c>
      <c r="RW77" s="99">
        <v>28.857449343339599</v>
      </c>
      <c r="RX77" s="99">
        <v>28.905513133208299</v>
      </c>
      <c r="RY77" s="99">
        <v>28.953576923076898</v>
      </c>
      <c r="RZ77" s="99">
        <v>29.001640712945601</v>
      </c>
      <c r="SA77" s="99">
        <v>29.049704502814301</v>
      </c>
      <c r="SB77" s="99">
        <v>29.097768292683</v>
      </c>
      <c r="SC77" s="99">
        <v>29.1458320825516</v>
      </c>
      <c r="SD77" s="99">
        <v>29.193895872420299</v>
      </c>
      <c r="SE77" s="99">
        <v>29.241959662288998</v>
      </c>
      <c r="SF77" s="99">
        <v>29.290023452157602</v>
      </c>
      <c r="SG77" s="99">
        <v>29.338087242026301</v>
      </c>
      <c r="SH77" s="99">
        <v>29.386151031895</v>
      </c>
      <c r="SI77" s="99">
        <v>29.4342148217636</v>
      </c>
      <c r="SJ77" s="99">
        <v>29.482278611632299</v>
      </c>
      <c r="SK77" s="99">
        <v>29.530342401500999</v>
      </c>
      <c r="SL77" s="99">
        <v>29.578406191369599</v>
      </c>
      <c r="SM77" s="99">
        <v>29.626469981238301</v>
      </c>
      <c r="SN77" s="99">
        <v>29.674533771107001</v>
      </c>
      <c r="SO77" s="99">
        <v>29.722597560975601</v>
      </c>
      <c r="SP77" s="99">
        <v>29.7706613508443</v>
      </c>
      <c r="SQ77" s="99">
        <v>29.818725140712999</v>
      </c>
      <c r="SR77" s="99">
        <v>29.866788930581599</v>
      </c>
      <c r="SS77" s="99">
        <v>29.914852720450298</v>
      </c>
      <c r="ST77" s="99">
        <v>29.962916510319001</v>
      </c>
      <c r="SU77" s="99">
        <v>30.010980300187601</v>
      </c>
      <c r="SV77" s="99">
        <v>30.0590440900563</v>
      </c>
      <c r="SW77" s="99">
        <v>30.107107879925</v>
      </c>
      <c r="SX77" s="99">
        <v>30.155171669793699</v>
      </c>
      <c r="SY77" s="99">
        <v>30.203235459662299</v>
      </c>
      <c r="SZ77" s="99">
        <v>30.251299249531002</v>
      </c>
      <c r="TA77" s="99">
        <v>30.299363039399701</v>
      </c>
      <c r="TB77" s="99">
        <v>30.347426829268301</v>
      </c>
      <c r="TC77" s="99">
        <v>30.395490619137</v>
      </c>
      <c r="TD77" s="99">
        <v>30.443554409005699</v>
      </c>
      <c r="TE77" s="99">
        <v>30.491618198874299</v>
      </c>
      <c r="TF77" s="99">
        <v>30.539681988742998</v>
      </c>
      <c r="TG77" s="99">
        <v>30.587745778611701</v>
      </c>
      <c r="TH77" s="99">
        <v>30.635809568480301</v>
      </c>
      <c r="TI77" s="99">
        <v>30.683873358349</v>
      </c>
      <c r="TJ77" s="99">
        <v>30.7319371482177</v>
      </c>
      <c r="TK77" s="99">
        <v>30.7800009380863</v>
      </c>
      <c r="TL77" s="99">
        <v>30.828064727954999</v>
      </c>
      <c r="TM77" s="99">
        <v>30.876128517823702</v>
      </c>
      <c r="TN77" s="99">
        <v>30.924192307692302</v>
      </c>
      <c r="TO77" s="99">
        <v>30.972256097561001</v>
      </c>
      <c r="TP77" s="99">
        <v>31.0203198874297</v>
      </c>
      <c r="TQ77" s="99">
        <v>31.0683836772983</v>
      </c>
      <c r="TR77" s="99">
        <v>31.116447467166999</v>
      </c>
      <c r="TS77" s="99">
        <v>31.164511257035699</v>
      </c>
      <c r="TT77" s="99">
        <v>31.212575046904298</v>
      </c>
      <c r="TU77" s="99">
        <v>31.260638836773001</v>
      </c>
      <c r="TV77" s="99">
        <v>31.308702626641701</v>
      </c>
      <c r="TW77" s="99">
        <v>31.3567664165103</v>
      </c>
      <c r="TX77" s="99">
        <v>31.404830206379</v>
      </c>
      <c r="TY77" s="99">
        <v>31.452893996247699</v>
      </c>
      <c r="TZ77" s="99">
        <v>31.500957786116299</v>
      </c>
      <c r="UA77" s="99">
        <v>31.549021575985002</v>
      </c>
      <c r="UB77" s="99">
        <v>31.597085365853701</v>
      </c>
      <c r="UC77" s="99">
        <v>31.6451491557224</v>
      </c>
      <c r="UD77" s="99">
        <v>31.693212945591</v>
      </c>
      <c r="UE77" s="99">
        <v>31.741276735459699</v>
      </c>
      <c r="UF77" s="99">
        <v>31.789340525328399</v>
      </c>
      <c r="UG77" s="99">
        <v>31.837404315196999</v>
      </c>
      <c r="UH77" s="99">
        <v>31.885468105065701</v>
      </c>
      <c r="UI77" s="99">
        <v>31.933531894934401</v>
      </c>
      <c r="UJ77" s="99">
        <v>31.981595684803001</v>
      </c>
      <c r="UK77" s="99">
        <v>32.029659474671703</v>
      </c>
      <c r="UL77" s="99">
        <v>32.077723264540403</v>
      </c>
      <c r="UM77" s="99">
        <v>32.125787054409003</v>
      </c>
      <c r="UN77" s="99">
        <v>32.173850844277702</v>
      </c>
      <c r="UO77" s="99">
        <v>32.221914634146401</v>
      </c>
      <c r="UP77" s="99">
        <v>32.269978424015001</v>
      </c>
      <c r="UQ77" s="99">
        <v>32.3180422138837</v>
      </c>
      <c r="UR77" s="99">
        <v>32.3661060037524</v>
      </c>
      <c r="US77" s="99">
        <v>32.414169793621099</v>
      </c>
      <c r="UT77" s="99">
        <v>32.462233583489798</v>
      </c>
    </row>
    <row r="78" spans="1:566" x14ac:dyDescent="0.2">
      <c r="A78" s="89">
        <v>36</v>
      </c>
      <c r="B78" s="90">
        <v>5.31</v>
      </c>
      <c r="C78" s="90">
        <v>5.36</v>
      </c>
      <c r="D78" s="90">
        <v>5.4</v>
      </c>
      <c r="E78" s="90">
        <v>5.45</v>
      </c>
      <c r="F78" s="90">
        <v>5.5</v>
      </c>
      <c r="G78" s="90">
        <v>5.55</v>
      </c>
      <c r="H78" s="90">
        <v>5.6</v>
      </c>
      <c r="I78" s="90">
        <v>5.64</v>
      </c>
      <c r="J78" s="90">
        <v>5.69</v>
      </c>
      <c r="K78" s="90">
        <v>5.74</v>
      </c>
      <c r="L78" s="90">
        <v>5.79</v>
      </c>
      <c r="M78" s="90">
        <v>5.83</v>
      </c>
      <c r="N78" s="90">
        <v>5.88</v>
      </c>
      <c r="O78" s="90">
        <v>5.93</v>
      </c>
      <c r="P78" s="90">
        <v>5.98</v>
      </c>
      <c r="Q78" s="90">
        <v>6.02</v>
      </c>
      <c r="R78" s="90">
        <v>6.07</v>
      </c>
      <c r="S78" s="90">
        <v>6.12</v>
      </c>
      <c r="T78" s="90">
        <v>6.17</v>
      </c>
      <c r="U78" s="91">
        <v>6.22</v>
      </c>
      <c r="V78" s="90">
        <v>6.26</v>
      </c>
      <c r="W78" s="90">
        <v>6.31</v>
      </c>
      <c r="X78" s="90">
        <v>6.36</v>
      </c>
      <c r="Y78" s="90">
        <v>6.41</v>
      </c>
      <c r="Z78" s="90">
        <v>6.45</v>
      </c>
      <c r="AA78" s="90">
        <v>6.5</v>
      </c>
      <c r="AB78" s="90">
        <v>6.55</v>
      </c>
      <c r="AC78" s="90">
        <v>6.6</v>
      </c>
      <c r="AD78" s="90">
        <v>6.65</v>
      </c>
      <c r="AE78" s="90">
        <v>6.69</v>
      </c>
      <c r="AF78" s="90">
        <v>6.74</v>
      </c>
      <c r="AG78" s="90">
        <v>6.79</v>
      </c>
      <c r="AH78" s="90">
        <v>6.84</v>
      </c>
      <c r="AI78" s="90">
        <v>6.88</v>
      </c>
      <c r="AJ78" s="90">
        <v>6.93</v>
      </c>
      <c r="AK78" s="90">
        <v>6.98</v>
      </c>
      <c r="AL78" s="90">
        <v>7.03</v>
      </c>
      <c r="AM78" s="90">
        <v>7.08</v>
      </c>
      <c r="AN78" s="90">
        <v>7.12</v>
      </c>
      <c r="AO78" s="91">
        <v>7.17</v>
      </c>
      <c r="AP78" s="90">
        <v>7.2183846153846201</v>
      </c>
      <c r="AQ78" s="90">
        <v>7.2661228893058203</v>
      </c>
      <c r="AR78" s="90">
        <v>7.3138611632270196</v>
      </c>
      <c r="AS78" s="90">
        <v>7.3615994371482198</v>
      </c>
      <c r="AT78" s="90">
        <v>7.4093377110694201</v>
      </c>
      <c r="AU78" s="90">
        <v>7.4570759849906096</v>
      </c>
      <c r="AV78" s="90">
        <v>7.5048142589118196</v>
      </c>
      <c r="AW78" s="90">
        <v>7.5525525328330296</v>
      </c>
      <c r="AX78" s="90">
        <v>7.6002908067542299</v>
      </c>
      <c r="AY78" s="90">
        <v>7.6480290806754203</v>
      </c>
      <c r="AZ78" s="90">
        <v>7.6957673545966303</v>
      </c>
      <c r="BA78" s="90">
        <v>7.7435056285178296</v>
      </c>
      <c r="BB78" s="90">
        <v>7.7912439024390299</v>
      </c>
      <c r="BC78" s="90">
        <v>7.8389821763602301</v>
      </c>
      <c r="BD78" s="90">
        <v>7.8867204502814197</v>
      </c>
      <c r="BE78" s="90">
        <v>7.9344587242026297</v>
      </c>
      <c r="BF78" s="90">
        <v>7.9821969981238299</v>
      </c>
      <c r="BG78" s="90">
        <v>8.0299352720450194</v>
      </c>
      <c r="BH78" s="90">
        <v>8.0776735459662294</v>
      </c>
      <c r="BI78" s="91">
        <v>8.1254118198874306</v>
      </c>
      <c r="BJ78" s="90">
        <v>8.1731500938086405</v>
      </c>
      <c r="BK78" s="99">
        <v>8.2208883677298292</v>
      </c>
      <c r="BL78" s="99">
        <v>8.2686266416510392</v>
      </c>
      <c r="BM78" s="99">
        <v>8.3163649155722403</v>
      </c>
      <c r="BN78" s="99">
        <v>8.3641031894934308</v>
      </c>
      <c r="BO78" s="99">
        <v>8.4118414634146408</v>
      </c>
      <c r="BP78" s="99">
        <v>8.4595797373358295</v>
      </c>
      <c r="BQ78" s="99">
        <v>8.5073180112570395</v>
      </c>
      <c r="BR78" s="99">
        <v>8.5550562851782406</v>
      </c>
      <c r="BS78" s="99">
        <v>8.6027945590994399</v>
      </c>
      <c r="BT78" s="99">
        <v>8.6505328330206392</v>
      </c>
      <c r="BU78" s="99">
        <v>8.6982711069418404</v>
      </c>
      <c r="BV78" s="99">
        <v>8.7460093808630397</v>
      </c>
      <c r="BW78" s="99">
        <v>8.7937476547842408</v>
      </c>
      <c r="BX78" s="99">
        <v>8.8414859287054508</v>
      </c>
      <c r="BY78" s="99">
        <v>8.8892242026266395</v>
      </c>
      <c r="BZ78" s="99">
        <v>8.9369624765478495</v>
      </c>
      <c r="CA78" s="99">
        <v>8.9847007504690506</v>
      </c>
      <c r="CB78" s="99">
        <v>9.0324390243902499</v>
      </c>
      <c r="CC78" s="99">
        <v>9.0801772983114493</v>
      </c>
      <c r="CD78" s="99">
        <v>9.1279155722326504</v>
      </c>
      <c r="CE78" s="99">
        <v>9.1756538461538497</v>
      </c>
      <c r="CF78" s="99">
        <v>9.2233921200750508</v>
      </c>
      <c r="CG78" s="99">
        <v>9.2711303939962395</v>
      </c>
      <c r="CH78" s="99">
        <v>9.3188686679174495</v>
      </c>
      <c r="CI78" s="99">
        <v>9.3666069418386506</v>
      </c>
      <c r="CJ78" s="99">
        <v>9.4143452157598393</v>
      </c>
      <c r="CK78" s="99">
        <v>9.4620834896810599</v>
      </c>
      <c r="CL78" s="99">
        <v>9.5098217636022593</v>
      </c>
      <c r="CM78" s="99">
        <v>9.5575600375234604</v>
      </c>
      <c r="CN78" s="99">
        <v>9.6052983114446597</v>
      </c>
      <c r="CO78" s="99">
        <v>9.6530365853658608</v>
      </c>
      <c r="CP78" s="99">
        <v>9.7007748592870495</v>
      </c>
      <c r="CQ78" s="99">
        <v>9.7485131332082595</v>
      </c>
      <c r="CR78" s="99">
        <v>9.7962514071294606</v>
      </c>
      <c r="CS78" s="99">
        <v>9.8439896810506493</v>
      </c>
      <c r="CT78" s="99">
        <v>9.8917279549718593</v>
      </c>
      <c r="CU78" s="99">
        <v>9.9394662288930604</v>
      </c>
      <c r="CV78" s="99">
        <v>9.9872045028142509</v>
      </c>
      <c r="CW78" s="99">
        <v>10.0349427767355</v>
      </c>
      <c r="CX78" s="99">
        <v>10.082681050656699</v>
      </c>
      <c r="CY78" s="99">
        <v>10.1304193245779</v>
      </c>
      <c r="CZ78" s="99">
        <v>10.1781575984991</v>
      </c>
      <c r="DA78" s="99">
        <v>10.225895872420301</v>
      </c>
      <c r="DB78" s="99">
        <v>10.2736341463415</v>
      </c>
      <c r="DC78" s="99">
        <v>10.3213724202627</v>
      </c>
      <c r="DD78" s="99">
        <v>10.369110694183901</v>
      </c>
      <c r="DE78" s="99">
        <v>10.4168489681051</v>
      </c>
      <c r="DF78" s="99">
        <v>10.464587242026299</v>
      </c>
      <c r="DG78" s="99">
        <v>10.5123255159475</v>
      </c>
      <c r="DH78" s="99">
        <v>10.5600637898687</v>
      </c>
      <c r="DI78" s="99">
        <v>10.607802063789901</v>
      </c>
      <c r="DJ78" s="99">
        <v>10.6555403377111</v>
      </c>
      <c r="DK78" s="99">
        <v>10.7032786116323</v>
      </c>
      <c r="DL78" s="99">
        <v>10.751016885553501</v>
      </c>
      <c r="DM78" s="99">
        <v>10.7987551594747</v>
      </c>
      <c r="DN78" s="99">
        <v>10.846493433395899</v>
      </c>
      <c r="DO78" s="99">
        <v>10.8942317073171</v>
      </c>
      <c r="DP78" s="99">
        <v>10.9419699812383</v>
      </c>
      <c r="DQ78" s="99">
        <v>10.989708255159499</v>
      </c>
      <c r="DR78" s="99">
        <v>11.0374465290807</v>
      </c>
      <c r="DS78" s="99">
        <v>11.0851848030019</v>
      </c>
      <c r="DT78" s="99">
        <v>11.132923076923101</v>
      </c>
      <c r="DU78" s="99">
        <v>11.1806613508443</v>
      </c>
      <c r="DV78" s="99">
        <v>11.228399624765499</v>
      </c>
      <c r="DW78" s="99">
        <v>11.2761378986867</v>
      </c>
      <c r="DX78" s="99">
        <v>11.3238761726079</v>
      </c>
      <c r="DY78" s="99">
        <v>11.371614446529099</v>
      </c>
      <c r="DZ78" s="99">
        <v>11.4193527204503</v>
      </c>
      <c r="EA78" s="99">
        <v>11.4670909943715</v>
      </c>
      <c r="EB78" s="99">
        <v>11.514829268292701</v>
      </c>
      <c r="EC78" s="99">
        <v>11.5625675422139</v>
      </c>
      <c r="ED78" s="99">
        <v>11.610305816135099</v>
      </c>
      <c r="EE78" s="99">
        <v>11.6580440900563</v>
      </c>
      <c r="EF78" s="99">
        <v>11.7057823639775</v>
      </c>
      <c r="EG78" s="99">
        <v>11.753520637898699</v>
      </c>
      <c r="EH78" s="99">
        <v>11.8012589118199</v>
      </c>
      <c r="EI78" s="99">
        <v>11.8489971857411</v>
      </c>
      <c r="EJ78" s="99">
        <v>11.896735459662301</v>
      </c>
      <c r="EK78" s="99">
        <v>11.9444737335835</v>
      </c>
      <c r="EL78" s="99">
        <v>11.992212007504699</v>
      </c>
      <c r="EM78" s="99">
        <v>12.039950281425901</v>
      </c>
      <c r="EN78" s="99">
        <v>12.0876885553471</v>
      </c>
      <c r="EO78" s="99">
        <v>12.135426829268299</v>
      </c>
      <c r="EP78" s="99">
        <v>12.1831651031895</v>
      </c>
      <c r="EQ78" s="99">
        <v>12.2309033771107</v>
      </c>
      <c r="ER78" s="99">
        <v>12.278641651031901</v>
      </c>
      <c r="ES78" s="99">
        <v>12.3263799249531</v>
      </c>
      <c r="ET78" s="99">
        <v>12.374118198874299</v>
      </c>
      <c r="EU78" s="99">
        <v>12.421856472795501</v>
      </c>
      <c r="EV78" s="99">
        <v>12.4695947467167</v>
      </c>
      <c r="EW78" s="99">
        <v>12.517333020637899</v>
      </c>
      <c r="EX78" s="99">
        <v>12.5650712945591</v>
      </c>
      <c r="EY78" s="99">
        <v>12.6128095684803</v>
      </c>
      <c r="EZ78" s="99">
        <v>12.660547842401501</v>
      </c>
      <c r="FA78" s="99">
        <v>12.7082861163227</v>
      </c>
      <c r="FB78" s="99">
        <v>12.756024390243899</v>
      </c>
      <c r="FC78" s="99">
        <v>12.803762664165101</v>
      </c>
      <c r="FD78" s="99">
        <v>12.8515009380863</v>
      </c>
      <c r="FE78" s="99">
        <v>12.899239212007499</v>
      </c>
      <c r="FF78" s="99">
        <v>12.9469774859287</v>
      </c>
      <c r="FG78" s="99">
        <v>12.9947157598499</v>
      </c>
      <c r="FH78" s="99">
        <v>13.042454033771101</v>
      </c>
      <c r="FI78" s="99">
        <v>13.0901923076923</v>
      </c>
      <c r="FJ78" s="99">
        <v>13.137930581613499</v>
      </c>
      <c r="FK78" s="99">
        <v>13.185668855534701</v>
      </c>
      <c r="FL78" s="99">
        <v>13.2334071294559</v>
      </c>
      <c r="FM78" s="99">
        <v>13.281145403377099</v>
      </c>
      <c r="FN78" s="99">
        <v>13.3288836772983</v>
      </c>
      <c r="FO78" s="99">
        <v>13.3766219512195</v>
      </c>
      <c r="FP78" s="99">
        <v>13.424360225140701</v>
      </c>
      <c r="FQ78" s="99">
        <v>13.4720984990619</v>
      </c>
      <c r="FR78" s="99">
        <v>13.519836772983099</v>
      </c>
      <c r="FS78" s="99">
        <v>13.567575046904301</v>
      </c>
      <c r="FT78" s="99">
        <v>13.6153133208255</v>
      </c>
      <c r="FU78" s="99">
        <v>13.663051594746699</v>
      </c>
      <c r="FV78" s="99">
        <v>13.7107898686679</v>
      </c>
      <c r="FW78" s="99">
        <v>13.7585281425891</v>
      </c>
      <c r="FX78" s="99">
        <v>13.806266416510301</v>
      </c>
      <c r="FY78" s="99">
        <v>13.8540046904315</v>
      </c>
      <c r="FZ78" s="99">
        <v>13.9017429643527</v>
      </c>
      <c r="GA78" s="99">
        <v>13.949481238273901</v>
      </c>
      <c r="GB78" s="99">
        <v>13.9972195121951</v>
      </c>
      <c r="GC78" s="99">
        <v>14.044957786116299</v>
      </c>
      <c r="GD78" s="99">
        <v>14.0926960600375</v>
      </c>
      <c r="GE78" s="99">
        <v>14.1404343339587</v>
      </c>
      <c r="GF78" s="99">
        <v>14.188172607879901</v>
      </c>
      <c r="GG78" s="99">
        <v>14.2359108818011</v>
      </c>
      <c r="GH78" s="99">
        <v>14.2836491557223</v>
      </c>
      <c r="GI78" s="99">
        <v>14.331387429643501</v>
      </c>
      <c r="GJ78" s="99">
        <v>14.3791257035647</v>
      </c>
      <c r="GK78" s="99">
        <v>14.426863977485899</v>
      </c>
      <c r="GL78" s="99">
        <v>14.4746022514071</v>
      </c>
      <c r="GM78" s="99">
        <v>14.5223405253283</v>
      </c>
      <c r="GN78" s="99">
        <v>14.570078799249499</v>
      </c>
      <c r="GO78" s="99">
        <v>14.6178170731707</v>
      </c>
      <c r="GP78" s="99">
        <v>14.6655553470919</v>
      </c>
      <c r="GQ78" s="99">
        <v>14.713293621013101</v>
      </c>
      <c r="GR78" s="99">
        <v>14.7610318949343</v>
      </c>
      <c r="GS78" s="99">
        <v>14.808770168855499</v>
      </c>
      <c r="GT78" s="99">
        <v>14.8565084427767</v>
      </c>
      <c r="GU78" s="99">
        <v>14.9042467166979</v>
      </c>
      <c r="GV78" s="99">
        <v>14.951984990619099</v>
      </c>
      <c r="GW78" s="99">
        <v>14.9997232645403</v>
      </c>
      <c r="GX78" s="99">
        <v>15.0474615384615</v>
      </c>
      <c r="GY78" s="99">
        <v>15.095199812382701</v>
      </c>
      <c r="GZ78" s="99">
        <v>15.1429380863039</v>
      </c>
      <c r="HA78" s="99">
        <v>15.190676360225099</v>
      </c>
      <c r="HB78" s="99">
        <v>15.2384146341463</v>
      </c>
      <c r="HC78" s="99">
        <v>15.2861529080675</v>
      </c>
      <c r="HD78" s="99">
        <v>15.3338911819888</v>
      </c>
      <c r="HE78" s="99">
        <v>15.38162945591</v>
      </c>
      <c r="HF78" s="99">
        <v>15.429367729831201</v>
      </c>
      <c r="HG78" s="99">
        <v>15.4771060037524</v>
      </c>
      <c r="HH78" s="99">
        <v>15.5248442776736</v>
      </c>
      <c r="HI78" s="99">
        <v>15.572582551594801</v>
      </c>
      <c r="HJ78" s="99">
        <v>15.620320825516</v>
      </c>
      <c r="HK78" s="99">
        <v>15.668059099437199</v>
      </c>
      <c r="HL78" s="99">
        <v>15.7157973733584</v>
      </c>
      <c r="HM78" s="99">
        <v>15.7635356472796</v>
      </c>
      <c r="HN78" s="99">
        <v>15.811273921200801</v>
      </c>
      <c r="HO78" s="99">
        <v>15.859012195122</v>
      </c>
      <c r="HP78" s="99">
        <v>15.9067504690432</v>
      </c>
      <c r="HQ78" s="99">
        <v>15.954488742964401</v>
      </c>
      <c r="HR78" s="99">
        <v>16.002227016885598</v>
      </c>
      <c r="HS78" s="99">
        <v>16.049965290806799</v>
      </c>
      <c r="HT78" s="99">
        <v>16.097703564728</v>
      </c>
      <c r="HU78" s="99">
        <v>16.145441838649202</v>
      </c>
      <c r="HV78" s="99">
        <v>16.193180112570399</v>
      </c>
      <c r="HW78" s="99">
        <v>16.2409183864916</v>
      </c>
      <c r="HX78" s="99">
        <v>16.288656660412801</v>
      </c>
      <c r="HY78" s="99">
        <v>16.336394934333999</v>
      </c>
      <c r="HZ78" s="99">
        <v>16.3841332082552</v>
      </c>
      <c r="IA78" s="99">
        <v>16.431871482176401</v>
      </c>
      <c r="IB78" s="99">
        <v>16.479609756097599</v>
      </c>
      <c r="IC78" s="99">
        <v>16.5273480300188</v>
      </c>
      <c r="ID78" s="99">
        <v>16.575086303940001</v>
      </c>
      <c r="IE78" s="99">
        <v>16.622824577861198</v>
      </c>
      <c r="IF78" s="99">
        <v>16.6705628517824</v>
      </c>
      <c r="IG78" s="99">
        <v>16.718301125703601</v>
      </c>
      <c r="IH78" s="99">
        <v>16.766039399624798</v>
      </c>
      <c r="II78" s="99">
        <v>16.813777673545999</v>
      </c>
      <c r="IJ78" s="99">
        <v>16.861515947467201</v>
      </c>
      <c r="IK78" s="99">
        <v>16.909254221388402</v>
      </c>
      <c r="IL78" s="99">
        <v>16.956992495309599</v>
      </c>
      <c r="IM78" s="99">
        <v>17.0047307692308</v>
      </c>
      <c r="IN78" s="99">
        <v>17.052469043152001</v>
      </c>
      <c r="IO78" s="99">
        <v>17.100207317073199</v>
      </c>
      <c r="IP78" s="99">
        <v>17.1479455909944</v>
      </c>
      <c r="IQ78" s="99">
        <v>17.195683864915601</v>
      </c>
      <c r="IR78" s="99">
        <v>17.243422138836799</v>
      </c>
      <c r="IS78" s="99">
        <v>17.291160412758</v>
      </c>
      <c r="IT78" s="99">
        <v>17.338898686679201</v>
      </c>
      <c r="IU78" s="99">
        <v>17.386636960600399</v>
      </c>
      <c r="IV78" s="99">
        <v>17.4343752345216</v>
      </c>
      <c r="IW78" s="99">
        <v>17.482113508442801</v>
      </c>
      <c r="IX78" s="99">
        <v>17.529851782363998</v>
      </c>
      <c r="IY78" s="99">
        <v>17.577590056285199</v>
      </c>
      <c r="IZ78" s="99">
        <v>17.625328330206401</v>
      </c>
      <c r="JA78" s="99">
        <v>17.673066604127602</v>
      </c>
      <c r="JB78" s="99">
        <v>17.720804878048799</v>
      </c>
      <c r="JC78" s="99">
        <v>17.76854315197</v>
      </c>
      <c r="JD78" s="99">
        <v>17.816281425891201</v>
      </c>
      <c r="JE78" s="99">
        <v>17.864019699812399</v>
      </c>
      <c r="JF78" s="99">
        <v>17.9117579737336</v>
      </c>
      <c r="JG78" s="99">
        <v>17.959496247654801</v>
      </c>
      <c r="JH78" s="99">
        <v>18.007234521575999</v>
      </c>
      <c r="JI78" s="99">
        <v>18.0549727954972</v>
      </c>
      <c r="JJ78" s="99">
        <v>18.102711069418401</v>
      </c>
      <c r="JK78" s="99">
        <v>18.150449343339599</v>
      </c>
      <c r="JL78" s="99">
        <v>18.1981876172608</v>
      </c>
      <c r="JM78" s="99">
        <v>18.245925891182001</v>
      </c>
      <c r="JN78" s="99">
        <v>18.293664165103198</v>
      </c>
      <c r="JO78" s="99">
        <v>18.341402439024399</v>
      </c>
      <c r="JP78" s="99">
        <v>18.389140712945601</v>
      </c>
      <c r="JQ78" s="99">
        <v>18.436878986866802</v>
      </c>
      <c r="JR78" s="99">
        <v>18.484617260787999</v>
      </c>
      <c r="JS78" s="99">
        <v>18.5323555347092</v>
      </c>
      <c r="JT78" s="99">
        <v>18.580093808630401</v>
      </c>
      <c r="JU78" s="99">
        <v>18.627832082551599</v>
      </c>
      <c r="JV78" s="99">
        <v>18.6755703564728</v>
      </c>
      <c r="JW78" s="99">
        <v>18.723308630394001</v>
      </c>
      <c r="JX78" s="99">
        <v>18.771046904315199</v>
      </c>
      <c r="JY78" s="99">
        <v>18.8187851782364</v>
      </c>
      <c r="JZ78" s="99">
        <v>18.866523452157601</v>
      </c>
      <c r="KA78" s="99">
        <v>18.914261726078799</v>
      </c>
      <c r="KB78" s="99">
        <v>18.962</v>
      </c>
      <c r="KC78" s="99">
        <v>19.009738273921201</v>
      </c>
      <c r="KD78" s="99">
        <v>19.057476547842398</v>
      </c>
      <c r="KE78" s="99">
        <v>19.1052148217636</v>
      </c>
      <c r="KF78" s="99">
        <v>19.152953095684801</v>
      </c>
      <c r="KG78" s="99">
        <v>19.200691369606002</v>
      </c>
      <c r="KH78" s="99">
        <v>19.248429643527199</v>
      </c>
      <c r="KI78" s="99">
        <v>19.2961679174484</v>
      </c>
      <c r="KJ78" s="99">
        <v>19.343906191369602</v>
      </c>
      <c r="KK78" s="99">
        <v>19.391644465290799</v>
      </c>
      <c r="KL78" s="99">
        <v>19.439382739212</v>
      </c>
      <c r="KM78" s="99">
        <v>19.487121013133201</v>
      </c>
      <c r="KN78" s="99">
        <v>19.534859287054399</v>
      </c>
      <c r="KO78" s="99">
        <v>19.5825975609756</v>
      </c>
      <c r="KP78" s="99">
        <v>19.630335834896801</v>
      </c>
      <c r="KQ78" s="99">
        <v>19.678074108817999</v>
      </c>
      <c r="KR78" s="99">
        <v>19.7258123827392</v>
      </c>
      <c r="KS78" s="99">
        <v>19.773550656660401</v>
      </c>
      <c r="KT78" s="99">
        <v>19.821288930581598</v>
      </c>
      <c r="KU78" s="99">
        <v>19.8690272045028</v>
      </c>
      <c r="KV78" s="99">
        <v>19.916765478424001</v>
      </c>
      <c r="KW78" s="99">
        <v>19.964503752345198</v>
      </c>
      <c r="KX78" s="99">
        <v>20.012242026266399</v>
      </c>
      <c r="KY78" s="99">
        <v>20.0599803001876</v>
      </c>
      <c r="KZ78" s="99">
        <v>20.107718574108802</v>
      </c>
      <c r="LA78" s="99">
        <v>20.155456848029999</v>
      </c>
      <c r="LB78" s="99">
        <v>20.2031951219512</v>
      </c>
      <c r="LC78" s="99">
        <v>20.250933395872401</v>
      </c>
      <c r="LD78" s="99">
        <v>20.298671669793599</v>
      </c>
      <c r="LE78" s="99">
        <v>20.3464099437148</v>
      </c>
      <c r="LF78" s="99">
        <v>20.394148217636001</v>
      </c>
      <c r="LG78" s="99">
        <v>20.441886491557199</v>
      </c>
      <c r="LH78" s="99">
        <v>20.4896247654784</v>
      </c>
      <c r="LI78" s="99">
        <v>20.537363039399601</v>
      </c>
      <c r="LJ78" s="99">
        <v>20.585101313320799</v>
      </c>
      <c r="LK78" s="99">
        <v>20.632839587242</v>
      </c>
      <c r="LL78" s="99">
        <v>20.680577861163201</v>
      </c>
      <c r="LM78" s="99">
        <v>20.728316135084398</v>
      </c>
      <c r="LN78" s="99">
        <v>20.776054409005599</v>
      </c>
      <c r="LO78" s="99">
        <v>20.823792682926801</v>
      </c>
      <c r="LP78" s="99">
        <v>20.871530956848002</v>
      </c>
      <c r="LQ78" s="99">
        <v>20.919269230769199</v>
      </c>
      <c r="LR78" s="99">
        <v>20.9670075046904</v>
      </c>
      <c r="LS78" s="99">
        <v>21.014745778611601</v>
      </c>
      <c r="LT78" s="99">
        <v>21.062484052532799</v>
      </c>
      <c r="LU78" s="99">
        <v>21.110222326454</v>
      </c>
      <c r="LV78" s="99">
        <v>21.157960600375301</v>
      </c>
      <c r="LW78" s="99">
        <v>21.205698874296399</v>
      </c>
      <c r="LX78" s="99">
        <v>21.253437148217699</v>
      </c>
      <c r="LY78" s="99">
        <v>21.3011754221389</v>
      </c>
      <c r="LZ78" s="99">
        <v>21.348913696060102</v>
      </c>
      <c r="MA78" s="99">
        <v>21.396651969981299</v>
      </c>
      <c r="MB78" s="99">
        <v>21.4443902439025</v>
      </c>
      <c r="MC78" s="99">
        <v>21.492128517823701</v>
      </c>
      <c r="MD78" s="99">
        <v>21.539866791744899</v>
      </c>
      <c r="ME78" s="99">
        <v>21.5876050656661</v>
      </c>
      <c r="MF78" s="99">
        <v>21.635343339587301</v>
      </c>
      <c r="MG78" s="99">
        <v>21.683081613508499</v>
      </c>
      <c r="MH78" s="99">
        <v>21.7308198874297</v>
      </c>
      <c r="MI78" s="99">
        <v>21.778558161350901</v>
      </c>
      <c r="MJ78" s="99">
        <v>21.826296435272099</v>
      </c>
      <c r="MK78" s="99">
        <v>21.8740347091933</v>
      </c>
      <c r="ML78" s="99">
        <v>21.921772983114501</v>
      </c>
      <c r="MM78" s="99">
        <v>21.969511257035698</v>
      </c>
      <c r="MN78" s="99">
        <v>22.017249530956899</v>
      </c>
      <c r="MO78" s="99">
        <v>22.064987804878101</v>
      </c>
      <c r="MP78" s="99">
        <v>22.112726078799302</v>
      </c>
      <c r="MQ78" s="99">
        <v>22.160464352720499</v>
      </c>
      <c r="MR78" s="99">
        <v>22.2082026266417</v>
      </c>
      <c r="MS78" s="99">
        <v>22.255940900562901</v>
      </c>
      <c r="MT78" s="99">
        <v>22.303679174484099</v>
      </c>
      <c r="MU78" s="99">
        <v>22.3514174484053</v>
      </c>
      <c r="MV78" s="99">
        <v>22.399155722326501</v>
      </c>
      <c r="MW78" s="99">
        <v>22.446893996247699</v>
      </c>
      <c r="MX78" s="99">
        <v>22.4946322701689</v>
      </c>
      <c r="MY78" s="99">
        <v>22.542370544090101</v>
      </c>
      <c r="MZ78" s="99">
        <v>22.590108818011299</v>
      </c>
      <c r="NA78" s="99">
        <v>22.6378470919325</v>
      </c>
      <c r="NB78" s="99">
        <v>22.685585365853701</v>
      </c>
      <c r="NC78" s="99">
        <v>22.733323639774898</v>
      </c>
      <c r="ND78" s="99">
        <v>22.781061913696099</v>
      </c>
      <c r="NE78" s="99">
        <v>22.828800187617301</v>
      </c>
      <c r="NF78" s="99">
        <v>22.876538461538502</v>
      </c>
      <c r="NG78" s="99">
        <v>22.924276735459699</v>
      </c>
      <c r="NH78" s="99">
        <v>22.9720150093809</v>
      </c>
      <c r="NI78" s="99">
        <v>23.019753283302101</v>
      </c>
      <c r="NJ78" s="99">
        <v>23.067491557223299</v>
      </c>
      <c r="NK78" s="99">
        <v>23.1152298311445</v>
      </c>
      <c r="NL78" s="99">
        <v>23.162968105065701</v>
      </c>
      <c r="NM78" s="99">
        <v>23.210706378986899</v>
      </c>
      <c r="NN78" s="99">
        <v>23.2584446529081</v>
      </c>
      <c r="NO78" s="99">
        <v>23.306182926829301</v>
      </c>
      <c r="NP78" s="99">
        <v>23.353921200750499</v>
      </c>
      <c r="NQ78" s="99">
        <v>23.4016594746717</v>
      </c>
      <c r="NR78" s="99">
        <v>23.449397748592901</v>
      </c>
      <c r="NS78" s="99">
        <v>23.497136022514098</v>
      </c>
      <c r="NT78" s="99">
        <v>23.544874296435299</v>
      </c>
      <c r="NU78" s="99">
        <v>23.592612570356501</v>
      </c>
      <c r="NV78" s="99">
        <v>23.640350844277702</v>
      </c>
      <c r="NW78" s="99">
        <v>23.688089118198899</v>
      </c>
      <c r="NX78" s="99">
        <v>23.7358273921201</v>
      </c>
      <c r="NY78" s="99">
        <v>23.783565666041302</v>
      </c>
      <c r="NZ78" s="99">
        <v>23.831303939962499</v>
      </c>
      <c r="OA78" s="99">
        <v>23.8790422138837</v>
      </c>
      <c r="OB78" s="99">
        <v>23.926780487804901</v>
      </c>
      <c r="OC78" s="99">
        <v>23.974518761726099</v>
      </c>
      <c r="OD78" s="99">
        <v>24.0222570356473</v>
      </c>
      <c r="OE78" s="99">
        <v>24.069995309568501</v>
      </c>
      <c r="OF78" s="99">
        <v>24.117733583489699</v>
      </c>
      <c r="OG78" s="99">
        <v>24.1654718574109</v>
      </c>
      <c r="OH78" s="99">
        <v>24.213210131332101</v>
      </c>
      <c r="OI78" s="99">
        <v>24.260948405253298</v>
      </c>
      <c r="OJ78" s="99">
        <v>24.3086866791745</v>
      </c>
      <c r="OK78" s="99">
        <v>24.356424953095701</v>
      </c>
      <c r="OL78" s="99">
        <v>24.404163227016902</v>
      </c>
      <c r="OM78" s="99">
        <v>24.451901500938099</v>
      </c>
      <c r="ON78" s="99">
        <v>24.4996397748593</v>
      </c>
      <c r="OO78" s="99">
        <v>24.547378048780502</v>
      </c>
      <c r="OP78" s="99">
        <v>24.595116322701699</v>
      </c>
      <c r="OQ78" s="99">
        <v>24.6428545966229</v>
      </c>
      <c r="OR78" s="99">
        <v>24.690592870544101</v>
      </c>
      <c r="OS78" s="99">
        <v>24.738331144465299</v>
      </c>
      <c r="OT78" s="99">
        <v>24.7860694183865</v>
      </c>
      <c r="OU78" s="99">
        <v>24.833807692307701</v>
      </c>
      <c r="OV78" s="99">
        <v>24.881545966228899</v>
      </c>
      <c r="OW78" s="99">
        <v>24.9292842401501</v>
      </c>
      <c r="OX78" s="99">
        <v>24.977022514071301</v>
      </c>
      <c r="OY78" s="99">
        <v>25.024760787992498</v>
      </c>
      <c r="OZ78" s="99">
        <v>25.0724990619137</v>
      </c>
      <c r="PA78" s="99">
        <v>25.120237335834901</v>
      </c>
      <c r="PB78" s="99">
        <v>25.167975609756098</v>
      </c>
      <c r="PC78" s="99">
        <v>25.215713883677299</v>
      </c>
      <c r="PD78" s="99">
        <v>25.2634521575985</v>
      </c>
      <c r="PE78" s="99">
        <v>25.311190431519702</v>
      </c>
      <c r="PF78" s="99">
        <v>25.358928705440899</v>
      </c>
      <c r="PG78" s="99">
        <v>25.4066669793621</v>
      </c>
      <c r="PH78" s="99">
        <v>25.454405253283301</v>
      </c>
      <c r="PI78" s="99">
        <v>25.502143527204499</v>
      </c>
      <c r="PJ78" s="99">
        <v>25.5498818011257</v>
      </c>
      <c r="PK78" s="99">
        <v>25.597620075046901</v>
      </c>
      <c r="PL78" s="99">
        <v>25.645358348968099</v>
      </c>
      <c r="PM78" s="99">
        <v>25.6930966228893</v>
      </c>
      <c r="PN78" s="99">
        <v>25.740834896810501</v>
      </c>
      <c r="PO78" s="99">
        <v>25.788573170731699</v>
      </c>
      <c r="PP78" s="99">
        <v>25.8363114446529</v>
      </c>
      <c r="PQ78" s="99">
        <v>25.884049718574101</v>
      </c>
      <c r="PR78" s="99">
        <v>25.931787992495298</v>
      </c>
      <c r="PS78" s="99">
        <v>25.979526266416499</v>
      </c>
      <c r="PT78" s="99">
        <v>26.027264540337701</v>
      </c>
      <c r="PU78" s="99">
        <v>26.075002814258902</v>
      </c>
      <c r="PV78" s="99">
        <v>26.122741088180099</v>
      </c>
      <c r="PW78" s="99">
        <v>26.1704793621013</v>
      </c>
      <c r="PX78" s="99">
        <v>26.218217636022501</v>
      </c>
      <c r="PY78" s="99">
        <v>26.265955909943699</v>
      </c>
      <c r="PZ78" s="99">
        <v>26.3136941838649</v>
      </c>
      <c r="QA78" s="99">
        <v>26.361432457786101</v>
      </c>
      <c r="QB78" s="99">
        <v>26.409170731707299</v>
      </c>
      <c r="QC78" s="99">
        <v>26.4569090056285</v>
      </c>
      <c r="QD78" s="99">
        <v>26.504647279549701</v>
      </c>
      <c r="QE78" s="99">
        <v>26.552385553470899</v>
      </c>
      <c r="QF78" s="99">
        <v>26.6001238273921</v>
      </c>
      <c r="QG78" s="99">
        <v>26.647862101313301</v>
      </c>
      <c r="QH78" s="99">
        <v>26.695600375234498</v>
      </c>
      <c r="QI78" s="99">
        <v>26.743338649155699</v>
      </c>
      <c r="QJ78" s="99">
        <v>26.791076923076901</v>
      </c>
      <c r="QK78" s="99">
        <v>26.838815196998102</v>
      </c>
      <c r="QL78" s="99">
        <v>26.886553470919299</v>
      </c>
      <c r="QM78" s="99">
        <v>26.9342917448405</v>
      </c>
      <c r="QN78" s="99">
        <v>26.982030018761701</v>
      </c>
      <c r="QO78" s="99">
        <v>27.029768292682899</v>
      </c>
      <c r="QP78" s="99">
        <v>27.0775065666041</v>
      </c>
      <c r="QQ78" s="99">
        <v>27.125244840525301</v>
      </c>
      <c r="QR78" s="99">
        <v>27.172983114446499</v>
      </c>
      <c r="QS78" s="99">
        <v>27.2207213883677</v>
      </c>
      <c r="QT78" s="99">
        <v>27.268459662288901</v>
      </c>
      <c r="QU78" s="99">
        <v>27.316197936210099</v>
      </c>
      <c r="QV78" s="99">
        <v>27.3639362101313</v>
      </c>
      <c r="QW78" s="99">
        <v>27.411674484052501</v>
      </c>
      <c r="QX78" s="99">
        <v>27.459412757973698</v>
      </c>
      <c r="QY78" s="99">
        <v>27.507151031894999</v>
      </c>
      <c r="QZ78" s="99">
        <v>27.5548893058162</v>
      </c>
      <c r="RA78" s="99">
        <v>27.602627579737401</v>
      </c>
      <c r="RB78" s="99">
        <v>27.650365853658599</v>
      </c>
      <c r="RC78" s="99">
        <v>27.6981041275798</v>
      </c>
      <c r="RD78" s="99">
        <v>27.745842401501001</v>
      </c>
      <c r="RE78" s="99">
        <v>27.793580675422199</v>
      </c>
      <c r="RF78" s="99">
        <v>27.8413189493434</v>
      </c>
      <c r="RG78" s="99">
        <v>27.889057223264601</v>
      </c>
      <c r="RH78" s="99">
        <v>27.936795497185798</v>
      </c>
      <c r="RI78" s="99">
        <v>27.984533771106999</v>
      </c>
      <c r="RJ78" s="99">
        <v>28.032272045028201</v>
      </c>
      <c r="RK78" s="99">
        <v>28.080010318949402</v>
      </c>
      <c r="RL78" s="99">
        <v>28.127748592870599</v>
      </c>
      <c r="RM78" s="99">
        <v>28.1754868667918</v>
      </c>
      <c r="RN78" s="99">
        <v>28.223225140713001</v>
      </c>
      <c r="RO78" s="99">
        <v>28.270963414634199</v>
      </c>
      <c r="RP78" s="99">
        <v>28.3187016885554</v>
      </c>
      <c r="RQ78" s="99">
        <v>28.366439962476601</v>
      </c>
      <c r="RR78" s="99">
        <v>28.414178236397799</v>
      </c>
      <c r="RS78" s="99">
        <v>28.461916510319</v>
      </c>
      <c r="RT78" s="99">
        <v>28.509654784240201</v>
      </c>
      <c r="RU78" s="99">
        <v>28.557393058161399</v>
      </c>
      <c r="RV78" s="99">
        <v>28.6051313320826</v>
      </c>
      <c r="RW78" s="99">
        <v>28.652869606003801</v>
      </c>
      <c r="RX78" s="99">
        <v>28.700607879924998</v>
      </c>
      <c r="RY78" s="99">
        <v>28.7483461538462</v>
      </c>
      <c r="RZ78" s="99">
        <v>28.796084427767401</v>
      </c>
      <c r="SA78" s="99">
        <v>28.843822701688602</v>
      </c>
      <c r="SB78" s="99">
        <v>28.891560975609799</v>
      </c>
      <c r="SC78" s="99">
        <v>28.939299249531</v>
      </c>
      <c r="SD78" s="99">
        <v>28.987037523452202</v>
      </c>
      <c r="SE78" s="99">
        <v>29.034775797373399</v>
      </c>
      <c r="SF78" s="99">
        <v>29.0825140712946</v>
      </c>
      <c r="SG78" s="99">
        <v>29.130252345215801</v>
      </c>
      <c r="SH78" s="99">
        <v>29.177990619136999</v>
      </c>
      <c r="SI78" s="99">
        <v>29.2257288930582</v>
      </c>
      <c r="SJ78" s="99">
        <v>29.273467166979401</v>
      </c>
      <c r="SK78" s="99">
        <v>29.321205440900599</v>
      </c>
      <c r="SL78" s="99">
        <v>29.3689437148218</v>
      </c>
      <c r="SM78" s="99">
        <v>29.416681988743001</v>
      </c>
      <c r="SN78" s="99">
        <v>29.464420262664198</v>
      </c>
      <c r="SO78" s="99">
        <v>29.5121585365854</v>
      </c>
      <c r="SP78" s="99">
        <v>29.559896810506601</v>
      </c>
      <c r="SQ78" s="99">
        <v>29.607635084427798</v>
      </c>
      <c r="SR78" s="99">
        <v>29.655373358348999</v>
      </c>
      <c r="SS78" s="99">
        <v>29.7031116322702</v>
      </c>
      <c r="ST78" s="99">
        <v>29.750849906191402</v>
      </c>
      <c r="SU78" s="99">
        <v>29.798588180112599</v>
      </c>
      <c r="SV78" s="99">
        <v>29.8463264540338</v>
      </c>
      <c r="SW78" s="99">
        <v>29.894064727955001</v>
      </c>
      <c r="SX78" s="99">
        <v>29.941803001876199</v>
      </c>
      <c r="SY78" s="99">
        <v>29.9895412757974</v>
      </c>
      <c r="SZ78" s="99">
        <v>30.037279549718601</v>
      </c>
      <c r="TA78" s="99">
        <v>30.085017823639799</v>
      </c>
      <c r="TB78" s="99">
        <v>30.132756097561</v>
      </c>
      <c r="TC78" s="99">
        <v>30.180494371482201</v>
      </c>
      <c r="TD78" s="99">
        <v>30.228232645403398</v>
      </c>
      <c r="TE78" s="99">
        <v>30.2759709193246</v>
      </c>
      <c r="TF78" s="99">
        <v>30.323709193245801</v>
      </c>
      <c r="TG78" s="99">
        <v>30.371447467166998</v>
      </c>
      <c r="TH78" s="99">
        <v>30.419185741088199</v>
      </c>
      <c r="TI78" s="99">
        <v>30.466924015009401</v>
      </c>
      <c r="TJ78" s="99">
        <v>30.514662288930602</v>
      </c>
      <c r="TK78" s="99">
        <v>30.562400562851799</v>
      </c>
      <c r="TL78" s="99">
        <v>30.610138836773</v>
      </c>
      <c r="TM78" s="99">
        <v>30.657877110694201</v>
      </c>
      <c r="TN78" s="99">
        <v>30.705615384615399</v>
      </c>
      <c r="TO78" s="99">
        <v>30.7533536585366</v>
      </c>
      <c r="TP78" s="99">
        <v>30.801091932457801</v>
      </c>
      <c r="TQ78" s="99">
        <v>30.848830206378999</v>
      </c>
      <c r="TR78" s="99">
        <v>30.8965684803002</v>
      </c>
      <c r="TS78" s="99">
        <v>30.944306754221401</v>
      </c>
      <c r="TT78" s="99">
        <v>30.992045028142599</v>
      </c>
      <c r="TU78" s="99">
        <v>31.0397833020638</v>
      </c>
      <c r="TV78" s="99">
        <v>31.087521575985001</v>
      </c>
      <c r="TW78" s="99">
        <v>31.135259849906198</v>
      </c>
      <c r="TX78" s="99">
        <v>31.182998123827399</v>
      </c>
      <c r="TY78" s="99">
        <v>31.230736397748601</v>
      </c>
      <c r="TZ78" s="99">
        <v>31.278474671669802</v>
      </c>
      <c r="UA78" s="99">
        <v>31.326212945590999</v>
      </c>
      <c r="UB78" s="99">
        <v>31.3739512195122</v>
      </c>
      <c r="UC78" s="99">
        <v>31.421689493433401</v>
      </c>
      <c r="UD78" s="99">
        <v>31.469427767354599</v>
      </c>
      <c r="UE78" s="99">
        <v>31.5171660412758</v>
      </c>
      <c r="UF78" s="99">
        <v>31.564904315197001</v>
      </c>
      <c r="UG78" s="99">
        <v>31.612642589118199</v>
      </c>
      <c r="UH78" s="99">
        <v>31.6603808630394</v>
      </c>
      <c r="UI78" s="99">
        <v>31.708119136960601</v>
      </c>
      <c r="UJ78" s="99">
        <v>31.755857410881799</v>
      </c>
      <c r="UK78" s="99">
        <v>31.803595684803</v>
      </c>
      <c r="UL78" s="99">
        <v>31.851333958724201</v>
      </c>
      <c r="UM78" s="99">
        <v>31.899072232645398</v>
      </c>
      <c r="UN78" s="99">
        <v>31.946810506566599</v>
      </c>
      <c r="UO78" s="99">
        <v>31.994548780487801</v>
      </c>
      <c r="UP78" s="99">
        <v>32.042287054409002</v>
      </c>
      <c r="UQ78" s="99">
        <v>32.090025328330199</v>
      </c>
      <c r="UR78" s="99">
        <v>32.137763602251397</v>
      </c>
      <c r="US78" s="99">
        <v>32.185501876172701</v>
      </c>
      <c r="UT78" s="99">
        <v>32.233240150093899</v>
      </c>
    </row>
    <row r="79" spans="1:566" x14ac:dyDescent="0.2">
      <c r="A79" s="89">
        <v>36.5</v>
      </c>
      <c r="B79" s="90">
        <v>5.26</v>
      </c>
      <c r="C79" s="90">
        <v>5.31</v>
      </c>
      <c r="D79" s="90">
        <v>5.36</v>
      </c>
      <c r="E79" s="90">
        <v>5.41</v>
      </c>
      <c r="F79" s="90">
        <v>5.45</v>
      </c>
      <c r="G79" s="90">
        <v>5.5</v>
      </c>
      <c r="H79" s="90">
        <v>5.55</v>
      </c>
      <c r="I79" s="90">
        <v>5.6</v>
      </c>
      <c r="J79" s="90">
        <v>5.64</v>
      </c>
      <c r="K79" s="90">
        <v>5.69</v>
      </c>
      <c r="L79" s="90">
        <v>5.74</v>
      </c>
      <c r="M79" s="90">
        <v>5.78</v>
      </c>
      <c r="N79" s="90">
        <v>5.83</v>
      </c>
      <c r="O79" s="90">
        <v>5.88</v>
      </c>
      <c r="P79" s="90">
        <v>5.93</v>
      </c>
      <c r="Q79" s="90">
        <v>5.97</v>
      </c>
      <c r="R79" s="90">
        <v>6.02</v>
      </c>
      <c r="S79" s="90">
        <v>6.07</v>
      </c>
      <c r="T79" s="90">
        <v>6.12</v>
      </c>
      <c r="U79" s="91">
        <v>6.16</v>
      </c>
      <c r="V79" s="90">
        <v>6.21</v>
      </c>
      <c r="W79" s="90">
        <v>6.26</v>
      </c>
      <c r="X79" s="90">
        <v>6.31</v>
      </c>
      <c r="Y79" s="90">
        <v>6.35</v>
      </c>
      <c r="Z79" s="90">
        <v>6.4</v>
      </c>
      <c r="AA79" s="90">
        <v>6.45</v>
      </c>
      <c r="AB79" s="90">
        <v>6.5</v>
      </c>
      <c r="AC79" s="90">
        <v>6.54</v>
      </c>
      <c r="AD79" s="90">
        <v>6.59</v>
      </c>
      <c r="AE79" s="90">
        <v>6.64</v>
      </c>
      <c r="AF79" s="90">
        <v>6.69</v>
      </c>
      <c r="AG79" s="90">
        <v>6.73</v>
      </c>
      <c r="AH79" s="90">
        <v>6.78</v>
      </c>
      <c r="AI79" s="90">
        <v>6.83</v>
      </c>
      <c r="AJ79" s="90">
        <v>6.88</v>
      </c>
      <c r="AK79" s="90">
        <v>6.92</v>
      </c>
      <c r="AL79" s="90">
        <v>6.97</v>
      </c>
      <c r="AM79" s="90">
        <v>7.02</v>
      </c>
      <c r="AN79" s="90">
        <v>7.07</v>
      </c>
      <c r="AO79" s="91">
        <v>7.11</v>
      </c>
      <c r="AP79" s="90">
        <v>7.1605384615384597</v>
      </c>
      <c r="AQ79" s="90">
        <v>7.2079793621013097</v>
      </c>
      <c r="AR79" s="90">
        <v>7.2554202626641597</v>
      </c>
      <c r="AS79" s="90">
        <v>7.3028611632270204</v>
      </c>
      <c r="AT79" s="90">
        <v>7.3503020637898704</v>
      </c>
      <c r="AU79" s="90">
        <v>7.3977429643527204</v>
      </c>
      <c r="AV79" s="90">
        <v>7.4451838649155704</v>
      </c>
      <c r="AW79" s="90">
        <v>7.4926247654784204</v>
      </c>
      <c r="AX79" s="90">
        <v>7.5400656660412801</v>
      </c>
      <c r="AY79" s="90">
        <v>7.5875065666041301</v>
      </c>
      <c r="AZ79" s="90">
        <v>7.6349474671669801</v>
      </c>
      <c r="BA79" s="90">
        <v>7.6823883677298301</v>
      </c>
      <c r="BB79" s="90">
        <v>7.7298292682926801</v>
      </c>
      <c r="BC79" s="90">
        <v>7.7772701688555301</v>
      </c>
      <c r="BD79" s="90">
        <v>7.8247110694183899</v>
      </c>
      <c r="BE79" s="90">
        <v>7.8721519699812399</v>
      </c>
      <c r="BF79" s="90">
        <v>7.9195928705440899</v>
      </c>
      <c r="BG79" s="90">
        <v>7.9670337711069399</v>
      </c>
      <c r="BH79" s="90">
        <v>8.0144746716697899</v>
      </c>
      <c r="BI79" s="91">
        <v>8.0619155722326497</v>
      </c>
      <c r="BJ79" s="90">
        <v>8.1093564727955005</v>
      </c>
      <c r="BK79" s="99">
        <v>8.1567973733583496</v>
      </c>
      <c r="BL79" s="99">
        <v>8.2042382739212005</v>
      </c>
      <c r="BM79" s="99">
        <v>8.2516791744840496</v>
      </c>
      <c r="BN79" s="99">
        <v>8.2991200750469005</v>
      </c>
      <c r="BO79" s="99">
        <v>8.3465609756097603</v>
      </c>
      <c r="BP79" s="99">
        <v>8.3940018761726094</v>
      </c>
      <c r="BQ79" s="99">
        <v>8.4414427767354603</v>
      </c>
      <c r="BR79" s="99">
        <v>8.4888836772983094</v>
      </c>
      <c r="BS79" s="99">
        <v>8.5363245778611603</v>
      </c>
      <c r="BT79" s="99">
        <v>8.5837654784240094</v>
      </c>
      <c r="BU79" s="99">
        <v>8.6312063789868692</v>
      </c>
      <c r="BV79" s="99">
        <v>8.67864727954972</v>
      </c>
      <c r="BW79" s="99">
        <v>8.7260881801125691</v>
      </c>
      <c r="BX79" s="99">
        <v>8.77352908067542</v>
      </c>
      <c r="BY79" s="99">
        <v>8.8209699812382691</v>
      </c>
      <c r="BZ79" s="99">
        <v>8.8684108818011307</v>
      </c>
      <c r="CA79" s="99">
        <v>8.9158517823639798</v>
      </c>
      <c r="CB79" s="99">
        <v>8.9632926829268307</v>
      </c>
      <c r="CC79" s="99">
        <v>9.0107335834896798</v>
      </c>
      <c r="CD79" s="99">
        <v>9.0581744840525307</v>
      </c>
      <c r="CE79" s="99">
        <v>9.1056153846153798</v>
      </c>
      <c r="CF79" s="99">
        <v>9.1530562851782395</v>
      </c>
      <c r="CG79" s="99">
        <v>9.2004971857410904</v>
      </c>
      <c r="CH79" s="99">
        <v>9.2479380863039395</v>
      </c>
      <c r="CI79" s="99">
        <v>9.2953789868667904</v>
      </c>
      <c r="CJ79" s="99">
        <v>9.3428198874296395</v>
      </c>
      <c r="CK79" s="99">
        <v>9.3902607879924993</v>
      </c>
      <c r="CL79" s="99">
        <v>9.4377016885553502</v>
      </c>
      <c r="CM79" s="99">
        <v>9.4851425891181993</v>
      </c>
      <c r="CN79" s="99">
        <v>9.5325834896810502</v>
      </c>
      <c r="CO79" s="99">
        <v>9.5800243902438993</v>
      </c>
      <c r="CP79" s="99">
        <v>9.6274652908067502</v>
      </c>
      <c r="CQ79" s="99">
        <v>9.6749061913696099</v>
      </c>
      <c r="CR79" s="99">
        <v>9.7223470919324608</v>
      </c>
      <c r="CS79" s="99">
        <v>9.7697879924953099</v>
      </c>
      <c r="CT79" s="99">
        <v>9.8172288930581608</v>
      </c>
      <c r="CU79" s="99">
        <v>9.8646697936210099</v>
      </c>
      <c r="CV79" s="99">
        <v>9.9121106941838608</v>
      </c>
      <c r="CW79" s="99">
        <v>9.9595515947467206</v>
      </c>
      <c r="CX79" s="99">
        <v>10.0069924953096</v>
      </c>
      <c r="CY79" s="99">
        <v>10.054433395872399</v>
      </c>
      <c r="CZ79" s="99">
        <v>10.1018742964353</v>
      </c>
      <c r="DA79" s="99">
        <v>10.149315196998099</v>
      </c>
      <c r="DB79" s="99">
        <v>10.196756097561</v>
      </c>
      <c r="DC79" s="99">
        <v>10.244196998123799</v>
      </c>
      <c r="DD79" s="99">
        <v>10.2916378986867</v>
      </c>
      <c r="DE79" s="99">
        <v>10.339078799249499</v>
      </c>
      <c r="DF79" s="99">
        <v>10.3865196998124</v>
      </c>
      <c r="DG79" s="99">
        <v>10.433960600375199</v>
      </c>
      <c r="DH79" s="99">
        <v>10.4814015009381</v>
      </c>
      <c r="DI79" s="99">
        <v>10.528842401500899</v>
      </c>
      <c r="DJ79" s="99">
        <v>10.5762833020638</v>
      </c>
      <c r="DK79" s="99">
        <v>10.623724202626599</v>
      </c>
      <c r="DL79" s="99">
        <v>10.6711651031895</v>
      </c>
      <c r="DM79" s="99">
        <v>10.718606003752299</v>
      </c>
      <c r="DN79" s="99">
        <v>10.7660469043152</v>
      </c>
      <c r="DO79" s="99">
        <v>10.813487804877999</v>
      </c>
      <c r="DP79" s="99">
        <v>10.8609287054409</v>
      </c>
      <c r="DQ79" s="99">
        <v>10.908369606003699</v>
      </c>
      <c r="DR79" s="99">
        <v>10.9558105065666</v>
      </c>
      <c r="DS79" s="99">
        <v>11.0032514071295</v>
      </c>
      <c r="DT79" s="99">
        <v>11.0506923076923</v>
      </c>
      <c r="DU79" s="99">
        <v>11.0981332082552</v>
      </c>
      <c r="DV79" s="99">
        <v>11.145574108818</v>
      </c>
      <c r="DW79" s="99">
        <v>11.1930150093809</v>
      </c>
      <c r="DX79" s="99">
        <v>11.2404559099437</v>
      </c>
      <c r="DY79" s="99">
        <v>11.2878968105066</v>
      </c>
      <c r="DZ79" s="99">
        <v>11.3353377110694</v>
      </c>
      <c r="EA79" s="99">
        <v>11.3827786116323</v>
      </c>
      <c r="EB79" s="99">
        <v>11.4302195121951</v>
      </c>
      <c r="EC79" s="99">
        <v>11.477660412758</v>
      </c>
      <c r="ED79" s="99">
        <v>11.5251013133208</v>
      </c>
      <c r="EE79" s="99">
        <v>11.5725422138837</v>
      </c>
      <c r="EF79" s="99">
        <v>11.6199831144465</v>
      </c>
      <c r="EG79" s="99">
        <v>11.6674240150094</v>
      </c>
      <c r="EH79" s="99">
        <v>11.7148649155722</v>
      </c>
      <c r="EI79" s="99">
        <v>11.7623058161351</v>
      </c>
      <c r="EJ79" s="99">
        <v>11.8097467166979</v>
      </c>
      <c r="EK79" s="99">
        <v>11.8571876172608</v>
      </c>
      <c r="EL79" s="99">
        <v>11.9046285178236</v>
      </c>
      <c r="EM79" s="99">
        <v>11.9520694183865</v>
      </c>
      <c r="EN79" s="99">
        <v>11.9995103189493</v>
      </c>
      <c r="EO79" s="99">
        <v>12.0469512195122</v>
      </c>
      <c r="EP79" s="99">
        <v>12.094392120075</v>
      </c>
      <c r="EQ79" s="99">
        <v>12.1418330206379</v>
      </c>
      <c r="ER79" s="99">
        <v>12.1892739212007</v>
      </c>
      <c r="ES79" s="99">
        <v>12.2367148217636</v>
      </c>
      <c r="ET79" s="99">
        <v>12.2841557223264</v>
      </c>
      <c r="EU79" s="99">
        <v>12.3315966228893</v>
      </c>
      <c r="EV79" s="99">
        <v>12.379037523452199</v>
      </c>
      <c r="EW79" s="99">
        <v>12.426478424015</v>
      </c>
      <c r="EX79" s="99">
        <v>12.473919324577899</v>
      </c>
      <c r="EY79" s="99">
        <v>12.5213602251407</v>
      </c>
      <c r="EZ79" s="99">
        <v>12.568801125703599</v>
      </c>
      <c r="FA79" s="99">
        <v>12.6162420262664</v>
      </c>
      <c r="FB79" s="99">
        <v>12.663682926829299</v>
      </c>
      <c r="FC79" s="99">
        <v>12.7111238273921</v>
      </c>
      <c r="FD79" s="99">
        <v>12.758564727954999</v>
      </c>
      <c r="FE79" s="99">
        <v>12.8060056285178</v>
      </c>
      <c r="FF79" s="99">
        <v>12.853446529080699</v>
      </c>
      <c r="FG79" s="99">
        <v>12.9008874296435</v>
      </c>
      <c r="FH79" s="99">
        <v>12.948328330206399</v>
      </c>
      <c r="FI79" s="99">
        <v>12.9957692307692</v>
      </c>
      <c r="FJ79" s="99">
        <v>13.043210131332099</v>
      </c>
      <c r="FK79" s="99">
        <v>13.0906510318949</v>
      </c>
      <c r="FL79" s="99">
        <v>13.138091932457799</v>
      </c>
      <c r="FM79" s="99">
        <v>13.1855328330206</v>
      </c>
      <c r="FN79" s="99">
        <v>13.232973733583499</v>
      </c>
      <c r="FO79" s="99">
        <v>13.2804146341463</v>
      </c>
      <c r="FP79" s="99">
        <v>13.327855534709199</v>
      </c>
      <c r="FQ79" s="99">
        <v>13.375296435272</v>
      </c>
      <c r="FR79" s="99">
        <v>13.422737335834899</v>
      </c>
      <c r="FS79" s="99">
        <v>13.4701782363977</v>
      </c>
      <c r="FT79" s="99">
        <v>13.517619136960599</v>
      </c>
      <c r="FU79" s="99">
        <v>13.5650600375234</v>
      </c>
      <c r="FV79" s="99">
        <v>13.612500938086299</v>
      </c>
      <c r="FW79" s="99">
        <v>13.6599418386491</v>
      </c>
      <c r="FX79" s="99">
        <v>13.707382739211999</v>
      </c>
      <c r="FY79" s="99">
        <v>13.7548236397749</v>
      </c>
      <c r="FZ79" s="99">
        <v>13.802264540337699</v>
      </c>
      <c r="GA79" s="99">
        <v>13.8497054409006</v>
      </c>
      <c r="GB79" s="99">
        <v>13.897146341463401</v>
      </c>
      <c r="GC79" s="99">
        <v>13.9445872420263</v>
      </c>
      <c r="GD79" s="99">
        <v>13.992028142589101</v>
      </c>
      <c r="GE79" s="99">
        <v>14.039469043152</v>
      </c>
      <c r="GF79" s="99">
        <v>14.086909943714801</v>
      </c>
      <c r="GG79" s="99">
        <v>14.1343508442777</v>
      </c>
      <c r="GH79" s="99">
        <v>14.181791744840501</v>
      </c>
      <c r="GI79" s="99">
        <v>14.2292326454034</v>
      </c>
      <c r="GJ79" s="99">
        <v>14.276673545966201</v>
      </c>
      <c r="GK79" s="99">
        <v>14.3241144465291</v>
      </c>
      <c r="GL79" s="99">
        <v>14.371555347091901</v>
      </c>
      <c r="GM79" s="99">
        <v>14.4189962476548</v>
      </c>
      <c r="GN79" s="99">
        <v>14.466437148217601</v>
      </c>
      <c r="GO79" s="99">
        <v>14.5138780487805</v>
      </c>
      <c r="GP79" s="99">
        <v>14.561318949343301</v>
      </c>
      <c r="GQ79" s="99">
        <v>14.6087598499062</v>
      </c>
      <c r="GR79" s="99">
        <v>14.656200750469001</v>
      </c>
      <c r="GS79" s="99">
        <v>14.7036416510319</v>
      </c>
      <c r="GT79" s="99">
        <v>14.751082551594701</v>
      </c>
      <c r="GU79" s="99">
        <v>14.7985234521576</v>
      </c>
      <c r="GV79" s="99">
        <v>14.845964352720401</v>
      </c>
      <c r="GW79" s="99">
        <v>14.8934052532833</v>
      </c>
      <c r="GX79" s="99">
        <v>14.940846153846101</v>
      </c>
      <c r="GY79" s="99">
        <v>14.988287054409</v>
      </c>
      <c r="GZ79" s="99">
        <v>15.0357279549719</v>
      </c>
      <c r="HA79" s="99">
        <v>15.0831688555347</v>
      </c>
      <c r="HB79" s="99">
        <v>15.1306097560976</v>
      </c>
      <c r="HC79" s="99">
        <v>15.1780506566604</v>
      </c>
      <c r="HD79" s="99">
        <v>15.2254915572233</v>
      </c>
      <c r="HE79" s="99">
        <v>15.2729324577861</v>
      </c>
      <c r="HF79" s="99">
        <v>15.320373358349</v>
      </c>
      <c r="HG79" s="99">
        <v>15.3678142589118</v>
      </c>
      <c r="HH79" s="99">
        <v>15.4152551594747</v>
      </c>
      <c r="HI79" s="99">
        <v>15.4626960600375</v>
      </c>
      <c r="HJ79" s="99">
        <v>15.5101369606004</v>
      </c>
      <c r="HK79" s="99">
        <v>15.5575778611632</v>
      </c>
      <c r="HL79" s="99">
        <v>15.6050187617261</v>
      </c>
      <c r="HM79" s="99">
        <v>15.6524596622889</v>
      </c>
      <c r="HN79" s="99">
        <v>15.6999005628518</v>
      </c>
      <c r="HO79" s="99">
        <v>15.7473414634146</v>
      </c>
      <c r="HP79" s="99">
        <v>15.7947823639775</v>
      </c>
      <c r="HQ79" s="99">
        <v>15.8422232645403</v>
      </c>
      <c r="HR79" s="99">
        <v>15.8896641651032</v>
      </c>
      <c r="HS79" s="99">
        <v>15.937105065666</v>
      </c>
      <c r="HT79" s="99">
        <v>15.9845459662289</v>
      </c>
      <c r="HU79" s="99">
        <v>16.031986866791801</v>
      </c>
      <c r="HV79" s="99">
        <v>16.079427767354598</v>
      </c>
      <c r="HW79" s="99">
        <v>16.126868667917499</v>
      </c>
      <c r="HX79" s="99">
        <v>16.1743095684803</v>
      </c>
      <c r="HY79" s="99">
        <v>16.221750469043201</v>
      </c>
      <c r="HZ79" s="99">
        <v>16.269191369605998</v>
      </c>
      <c r="IA79" s="99">
        <v>16.316632270168899</v>
      </c>
      <c r="IB79" s="99">
        <v>16.3640731707317</v>
      </c>
      <c r="IC79" s="99">
        <v>16.411514071294601</v>
      </c>
      <c r="ID79" s="99">
        <v>16.458954971857398</v>
      </c>
      <c r="IE79" s="99">
        <v>16.506395872420299</v>
      </c>
      <c r="IF79" s="99">
        <v>16.5538367729831</v>
      </c>
      <c r="IG79" s="99">
        <v>16.601277673546001</v>
      </c>
      <c r="IH79" s="99">
        <v>16.648718574108798</v>
      </c>
      <c r="II79" s="99">
        <v>16.696159474671699</v>
      </c>
      <c r="IJ79" s="99">
        <v>16.7436003752345</v>
      </c>
      <c r="IK79" s="99">
        <v>16.791041275797401</v>
      </c>
      <c r="IL79" s="99">
        <v>16.838482176360198</v>
      </c>
      <c r="IM79" s="99">
        <v>16.885923076923099</v>
      </c>
      <c r="IN79" s="99">
        <v>16.9333639774859</v>
      </c>
      <c r="IO79" s="99">
        <v>16.980804878048801</v>
      </c>
      <c r="IP79" s="99">
        <v>17.028245778611598</v>
      </c>
      <c r="IQ79" s="99">
        <v>17.075686679174499</v>
      </c>
      <c r="IR79" s="99">
        <v>17.1231275797373</v>
      </c>
      <c r="IS79" s="99">
        <v>17.170568480300201</v>
      </c>
      <c r="IT79" s="99">
        <v>17.218009380862998</v>
      </c>
      <c r="IU79" s="99">
        <v>17.265450281425899</v>
      </c>
      <c r="IV79" s="99">
        <v>17.3128911819888</v>
      </c>
      <c r="IW79" s="99">
        <v>17.360332082551601</v>
      </c>
      <c r="IX79" s="99">
        <v>17.407772983114501</v>
      </c>
      <c r="IY79" s="99">
        <v>17.455213883677299</v>
      </c>
      <c r="IZ79" s="99">
        <v>17.5026547842402</v>
      </c>
      <c r="JA79" s="99">
        <v>17.550095684803001</v>
      </c>
      <c r="JB79" s="99">
        <v>17.597536585365901</v>
      </c>
      <c r="JC79" s="99">
        <v>17.644977485928699</v>
      </c>
      <c r="JD79" s="99">
        <v>17.6924183864916</v>
      </c>
      <c r="JE79" s="99">
        <v>17.739859287054401</v>
      </c>
      <c r="JF79" s="99">
        <v>17.787300187617301</v>
      </c>
      <c r="JG79" s="99">
        <v>17.834741088180099</v>
      </c>
      <c r="JH79" s="99">
        <v>17.882181988743</v>
      </c>
      <c r="JI79" s="99">
        <v>17.929622889305801</v>
      </c>
      <c r="JJ79" s="99">
        <v>17.977063789868701</v>
      </c>
      <c r="JK79" s="99">
        <v>18.024504690431499</v>
      </c>
      <c r="JL79" s="99">
        <v>18.0719455909944</v>
      </c>
      <c r="JM79" s="99">
        <v>18.119386491557201</v>
      </c>
      <c r="JN79" s="99">
        <v>18.166827392120101</v>
      </c>
      <c r="JO79" s="99">
        <v>18.214268292682899</v>
      </c>
      <c r="JP79" s="99">
        <v>18.2617091932458</v>
      </c>
      <c r="JQ79" s="99">
        <v>18.309150093808601</v>
      </c>
      <c r="JR79" s="99">
        <v>18.356590994371501</v>
      </c>
      <c r="JS79" s="99">
        <v>18.404031894934299</v>
      </c>
      <c r="JT79" s="99">
        <v>18.4514727954972</v>
      </c>
      <c r="JU79" s="99">
        <v>18.498913696060001</v>
      </c>
      <c r="JV79" s="99">
        <v>18.546354596622901</v>
      </c>
      <c r="JW79" s="99">
        <v>18.593795497185798</v>
      </c>
      <c r="JX79" s="99">
        <v>18.6412363977486</v>
      </c>
      <c r="JY79" s="99">
        <v>18.6886772983115</v>
      </c>
      <c r="JZ79" s="99">
        <v>18.736118198874301</v>
      </c>
      <c r="KA79" s="99">
        <v>18.783559099437198</v>
      </c>
      <c r="KB79" s="99">
        <v>18.831</v>
      </c>
      <c r="KC79" s="99">
        <v>18.8784409005629</v>
      </c>
      <c r="KD79" s="99">
        <v>18.925881801125701</v>
      </c>
      <c r="KE79" s="99">
        <v>18.973322701688598</v>
      </c>
      <c r="KF79" s="99">
        <v>19.0207636022514</v>
      </c>
      <c r="KG79" s="99">
        <v>19.0682045028143</v>
      </c>
      <c r="KH79" s="99">
        <v>19.115645403377101</v>
      </c>
      <c r="KI79" s="99">
        <v>19.163086303939998</v>
      </c>
      <c r="KJ79" s="99">
        <v>19.210527204502799</v>
      </c>
      <c r="KK79" s="99">
        <v>19.2579681050657</v>
      </c>
      <c r="KL79" s="99">
        <v>19.305409005628501</v>
      </c>
      <c r="KM79" s="99">
        <v>19.352849906191398</v>
      </c>
      <c r="KN79" s="99">
        <v>19.400290806754199</v>
      </c>
      <c r="KO79" s="99">
        <v>19.4477317073171</v>
      </c>
      <c r="KP79" s="99">
        <v>19.495172607879901</v>
      </c>
      <c r="KQ79" s="99">
        <v>19.542613508442798</v>
      </c>
      <c r="KR79" s="99">
        <v>19.590054409005599</v>
      </c>
      <c r="KS79" s="99">
        <v>19.6374953095685</v>
      </c>
      <c r="KT79" s="99">
        <v>19.684936210131301</v>
      </c>
      <c r="KU79" s="99">
        <v>19.732377110694198</v>
      </c>
      <c r="KV79" s="99">
        <v>19.779818011256999</v>
      </c>
      <c r="KW79" s="99">
        <v>19.8272589118199</v>
      </c>
      <c r="KX79" s="99">
        <v>19.874699812382701</v>
      </c>
      <c r="KY79" s="99">
        <v>19.922140712945598</v>
      </c>
      <c r="KZ79" s="99">
        <v>19.969581613508499</v>
      </c>
      <c r="LA79" s="99">
        <v>20.0170225140713</v>
      </c>
      <c r="LB79" s="99">
        <v>20.064463414634201</v>
      </c>
      <c r="LC79" s="99">
        <v>20.111904315196998</v>
      </c>
      <c r="LD79" s="99">
        <v>20.159345215759899</v>
      </c>
      <c r="LE79" s="99">
        <v>20.2067861163227</v>
      </c>
      <c r="LF79" s="99">
        <v>20.254227016885601</v>
      </c>
      <c r="LG79" s="99">
        <v>20.301667917448398</v>
      </c>
      <c r="LH79" s="99">
        <v>20.349108818011299</v>
      </c>
      <c r="LI79" s="99">
        <v>20.3965497185741</v>
      </c>
      <c r="LJ79" s="99">
        <v>20.443990619137001</v>
      </c>
      <c r="LK79" s="99">
        <v>20.491431519699798</v>
      </c>
      <c r="LL79" s="99">
        <v>20.538872420262699</v>
      </c>
      <c r="LM79" s="99">
        <v>20.5863133208255</v>
      </c>
      <c r="LN79" s="99">
        <v>20.633754221388401</v>
      </c>
      <c r="LO79" s="99">
        <v>20.681195121951198</v>
      </c>
      <c r="LP79" s="99">
        <v>20.728636022514099</v>
      </c>
      <c r="LQ79" s="99">
        <v>20.7760769230769</v>
      </c>
      <c r="LR79" s="99">
        <v>20.823517823639801</v>
      </c>
      <c r="LS79" s="99">
        <v>20.870958724202598</v>
      </c>
      <c r="LT79" s="99">
        <v>20.918399624765499</v>
      </c>
      <c r="LU79" s="99">
        <v>20.9658405253283</v>
      </c>
      <c r="LV79" s="99">
        <v>21.013281425891201</v>
      </c>
      <c r="LW79" s="99">
        <v>21.060722326454002</v>
      </c>
      <c r="LX79" s="99">
        <v>21.108163227016899</v>
      </c>
      <c r="LY79" s="99">
        <v>21.1556041275797</v>
      </c>
      <c r="LZ79" s="99">
        <v>21.203045028142601</v>
      </c>
      <c r="MA79" s="99">
        <v>21.250485928705501</v>
      </c>
      <c r="MB79" s="99">
        <v>21.297926829268299</v>
      </c>
      <c r="MC79" s="99">
        <v>21.345367729831199</v>
      </c>
      <c r="MD79" s="99">
        <v>21.392808630394001</v>
      </c>
      <c r="ME79" s="99">
        <v>21.440249530956901</v>
      </c>
      <c r="MF79" s="99">
        <v>21.487690431519699</v>
      </c>
      <c r="MG79" s="99">
        <v>21.535131332082599</v>
      </c>
      <c r="MH79" s="99">
        <v>21.582572232645401</v>
      </c>
      <c r="MI79" s="99">
        <v>21.630013133208301</v>
      </c>
      <c r="MJ79" s="99">
        <v>21.677454033771099</v>
      </c>
      <c r="MK79" s="99">
        <v>21.724894934333999</v>
      </c>
      <c r="ML79" s="99">
        <v>21.772335834896801</v>
      </c>
      <c r="MM79" s="99">
        <v>21.819776735459701</v>
      </c>
      <c r="MN79" s="99">
        <v>21.867217636022499</v>
      </c>
      <c r="MO79" s="99">
        <v>21.914658536585399</v>
      </c>
      <c r="MP79" s="99">
        <v>21.962099437148201</v>
      </c>
      <c r="MQ79" s="99">
        <v>22.009540337711101</v>
      </c>
      <c r="MR79" s="99">
        <v>22.056981238273899</v>
      </c>
      <c r="MS79" s="99">
        <v>22.104422138836799</v>
      </c>
      <c r="MT79" s="99">
        <v>22.151863039399601</v>
      </c>
      <c r="MU79" s="99">
        <v>22.199303939962501</v>
      </c>
      <c r="MV79" s="99">
        <v>22.246744840525299</v>
      </c>
      <c r="MW79" s="99">
        <v>22.294185741088199</v>
      </c>
      <c r="MX79" s="99">
        <v>22.341626641651001</v>
      </c>
      <c r="MY79" s="99">
        <v>22.389067542213901</v>
      </c>
      <c r="MZ79" s="99">
        <v>22.436508442776699</v>
      </c>
      <c r="NA79" s="99">
        <v>22.483949343339599</v>
      </c>
      <c r="NB79" s="99">
        <v>22.531390243902401</v>
      </c>
      <c r="NC79" s="99">
        <v>22.578831144465301</v>
      </c>
      <c r="ND79" s="99">
        <v>22.626272045028202</v>
      </c>
      <c r="NE79" s="99">
        <v>22.673712945590999</v>
      </c>
      <c r="NF79" s="99">
        <v>22.7211538461539</v>
      </c>
      <c r="NG79" s="99">
        <v>22.768594746716701</v>
      </c>
      <c r="NH79" s="99">
        <v>22.816035647279602</v>
      </c>
      <c r="NI79" s="99">
        <v>22.863476547842399</v>
      </c>
      <c r="NJ79" s="99">
        <v>22.9109174484053</v>
      </c>
      <c r="NK79" s="99">
        <v>22.958358348968101</v>
      </c>
      <c r="NL79" s="99">
        <v>23.005799249531002</v>
      </c>
      <c r="NM79" s="99">
        <v>23.053240150093799</v>
      </c>
      <c r="NN79" s="99">
        <v>23.1006810506567</v>
      </c>
      <c r="NO79" s="99">
        <v>23.148121951219501</v>
      </c>
      <c r="NP79" s="99">
        <v>23.195562851782402</v>
      </c>
      <c r="NQ79" s="99">
        <v>23.243003752345199</v>
      </c>
      <c r="NR79" s="99">
        <v>23.2904446529081</v>
      </c>
      <c r="NS79" s="99">
        <v>23.337885553470901</v>
      </c>
      <c r="NT79" s="99">
        <v>23.385326454033802</v>
      </c>
      <c r="NU79" s="99">
        <v>23.432767354596599</v>
      </c>
      <c r="NV79" s="99">
        <v>23.4802082551595</v>
      </c>
      <c r="NW79" s="99">
        <v>23.527649155722301</v>
      </c>
      <c r="NX79" s="99">
        <v>23.575090056285202</v>
      </c>
      <c r="NY79" s="99">
        <v>23.622530956847999</v>
      </c>
      <c r="NZ79" s="99">
        <v>23.6699718574109</v>
      </c>
      <c r="OA79" s="99">
        <v>23.717412757973701</v>
      </c>
      <c r="OB79" s="99">
        <v>23.764853658536602</v>
      </c>
      <c r="OC79" s="99">
        <v>23.812294559099399</v>
      </c>
      <c r="OD79" s="99">
        <v>23.8597354596623</v>
      </c>
      <c r="OE79" s="99">
        <v>23.907176360225101</v>
      </c>
      <c r="OF79" s="99">
        <v>23.954617260788002</v>
      </c>
      <c r="OG79" s="99">
        <v>24.002058161350899</v>
      </c>
      <c r="OH79" s="99">
        <v>24.0494990619137</v>
      </c>
      <c r="OI79" s="99">
        <v>24.096939962476601</v>
      </c>
      <c r="OJ79" s="99">
        <v>24.144380863039402</v>
      </c>
      <c r="OK79" s="99">
        <v>24.191821763602299</v>
      </c>
      <c r="OL79" s="99">
        <v>24.2392626641651</v>
      </c>
      <c r="OM79" s="99">
        <v>24.286703564728001</v>
      </c>
      <c r="ON79" s="99">
        <v>24.334144465290802</v>
      </c>
      <c r="OO79" s="99">
        <v>24.381585365853699</v>
      </c>
      <c r="OP79" s="99">
        <v>24.4290262664165</v>
      </c>
      <c r="OQ79" s="99">
        <v>24.476467166979401</v>
      </c>
      <c r="OR79" s="99">
        <v>24.523908067542202</v>
      </c>
      <c r="OS79" s="99">
        <v>24.571348968105099</v>
      </c>
      <c r="OT79" s="99">
        <v>24.6187898686679</v>
      </c>
      <c r="OU79" s="99">
        <v>24.6662307692308</v>
      </c>
      <c r="OV79" s="99">
        <v>24.713671669793602</v>
      </c>
      <c r="OW79" s="99">
        <v>24.761112570356499</v>
      </c>
      <c r="OX79" s="99">
        <v>24.8085534709193</v>
      </c>
      <c r="OY79" s="99">
        <v>24.8559943714822</v>
      </c>
      <c r="OZ79" s="99">
        <v>24.903435272045002</v>
      </c>
      <c r="PA79" s="99">
        <v>24.950876172607899</v>
      </c>
      <c r="PB79" s="99">
        <v>24.9983170731707</v>
      </c>
      <c r="PC79" s="99">
        <v>25.0457579737336</v>
      </c>
      <c r="PD79" s="99">
        <v>25.093198874296402</v>
      </c>
      <c r="PE79" s="99">
        <v>25.140639774859299</v>
      </c>
      <c r="PF79" s="99">
        <v>25.1880806754221</v>
      </c>
      <c r="PG79" s="99">
        <v>25.235521575985</v>
      </c>
      <c r="PH79" s="99">
        <v>25.282962476547901</v>
      </c>
      <c r="PI79" s="99">
        <v>25.330403377110699</v>
      </c>
      <c r="PJ79" s="99">
        <v>25.377844277673599</v>
      </c>
      <c r="PK79" s="99">
        <v>25.4252851782364</v>
      </c>
      <c r="PL79" s="99">
        <v>25.472726078799301</v>
      </c>
      <c r="PM79" s="99">
        <v>25.520166979362099</v>
      </c>
      <c r="PN79" s="99">
        <v>25.567607879924999</v>
      </c>
      <c r="PO79" s="99">
        <v>25.6150487804878</v>
      </c>
      <c r="PP79" s="99">
        <v>25.662489681050701</v>
      </c>
      <c r="PQ79" s="99">
        <v>25.709930581613499</v>
      </c>
      <c r="PR79" s="99">
        <v>25.757371482176399</v>
      </c>
      <c r="PS79" s="99">
        <v>25.8048123827392</v>
      </c>
      <c r="PT79" s="99">
        <v>25.852253283302101</v>
      </c>
      <c r="PU79" s="99">
        <v>25.899694183864899</v>
      </c>
      <c r="PV79" s="99">
        <v>25.947135084427799</v>
      </c>
      <c r="PW79" s="99">
        <v>25.9945759849906</v>
      </c>
      <c r="PX79" s="99">
        <v>26.042016885553501</v>
      </c>
      <c r="PY79" s="99">
        <v>26.089457786116299</v>
      </c>
      <c r="PZ79" s="99">
        <v>26.136898686679199</v>
      </c>
      <c r="QA79" s="99">
        <v>26.184339587242</v>
      </c>
      <c r="QB79" s="99">
        <v>26.231780487804901</v>
      </c>
      <c r="QC79" s="99">
        <v>26.279221388367699</v>
      </c>
      <c r="QD79" s="99">
        <v>26.326662288930599</v>
      </c>
      <c r="QE79" s="99">
        <v>26.3741031894934</v>
      </c>
      <c r="QF79" s="99">
        <v>26.421544090056301</v>
      </c>
      <c r="QG79" s="99">
        <v>26.468984990619099</v>
      </c>
      <c r="QH79" s="99">
        <v>26.516425891181999</v>
      </c>
      <c r="QI79" s="99">
        <v>26.5638667917448</v>
      </c>
      <c r="QJ79" s="99">
        <v>26.611307692307701</v>
      </c>
      <c r="QK79" s="99">
        <v>26.658748592870602</v>
      </c>
      <c r="QL79" s="99">
        <v>26.706189493433399</v>
      </c>
      <c r="QM79" s="99">
        <v>26.7536303939963</v>
      </c>
      <c r="QN79" s="99">
        <v>26.801071294559101</v>
      </c>
      <c r="QO79" s="99">
        <v>26.848512195122002</v>
      </c>
      <c r="QP79" s="99">
        <v>26.895953095684799</v>
      </c>
      <c r="QQ79" s="99">
        <v>26.9433939962477</v>
      </c>
      <c r="QR79" s="99">
        <v>26.990834896810501</v>
      </c>
      <c r="QS79" s="99">
        <v>27.038275797373402</v>
      </c>
      <c r="QT79" s="99">
        <v>27.085716697936199</v>
      </c>
      <c r="QU79" s="99">
        <v>27.1331575984991</v>
      </c>
      <c r="QV79" s="99">
        <v>27.180598499061901</v>
      </c>
      <c r="QW79" s="99">
        <v>27.228039399624802</v>
      </c>
      <c r="QX79" s="99">
        <v>27.275480300187599</v>
      </c>
      <c r="QY79" s="99">
        <v>27.3229212007505</v>
      </c>
      <c r="QZ79" s="99">
        <v>27.370362101313301</v>
      </c>
      <c r="RA79" s="99">
        <v>27.417803001876202</v>
      </c>
      <c r="RB79" s="99">
        <v>27.465243902438999</v>
      </c>
      <c r="RC79" s="99">
        <v>27.5126848030019</v>
      </c>
      <c r="RD79" s="99">
        <v>27.560125703564701</v>
      </c>
      <c r="RE79" s="99">
        <v>27.607566604127602</v>
      </c>
      <c r="RF79" s="99">
        <v>27.655007504690399</v>
      </c>
      <c r="RG79" s="99">
        <v>27.7024484052533</v>
      </c>
      <c r="RH79" s="99">
        <v>27.749889305816101</v>
      </c>
      <c r="RI79" s="99">
        <v>27.797330206379002</v>
      </c>
      <c r="RJ79" s="99">
        <v>27.844771106941799</v>
      </c>
      <c r="RK79" s="99">
        <v>27.8922120075047</v>
      </c>
      <c r="RL79" s="99">
        <v>27.939652908067501</v>
      </c>
      <c r="RM79" s="99">
        <v>27.987093808630402</v>
      </c>
      <c r="RN79" s="99">
        <v>28.034534709193299</v>
      </c>
      <c r="RO79" s="99">
        <v>28.0819756097561</v>
      </c>
      <c r="RP79" s="99">
        <v>28.129416510319</v>
      </c>
      <c r="RQ79" s="99">
        <v>28.176857410881802</v>
      </c>
      <c r="RR79" s="99">
        <v>28.224298311444699</v>
      </c>
      <c r="RS79" s="99">
        <v>28.2717392120075</v>
      </c>
      <c r="RT79" s="99">
        <v>28.3191801125704</v>
      </c>
      <c r="RU79" s="99">
        <v>28.366621013133202</v>
      </c>
      <c r="RV79" s="99">
        <v>28.414061913696099</v>
      </c>
      <c r="RW79" s="99">
        <v>28.4615028142589</v>
      </c>
      <c r="RX79" s="99">
        <v>28.5089437148218</v>
      </c>
      <c r="RY79" s="99">
        <v>28.556384615384601</v>
      </c>
      <c r="RZ79" s="99">
        <v>28.603825515947499</v>
      </c>
      <c r="SA79" s="99">
        <v>28.6512664165103</v>
      </c>
      <c r="SB79" s="99">
        <v>28.6987073170732</v>
      </c>
      <c r="SC79" s="99">
        <v>28.746148217636001</v>
      </c>
      <c r="SD79" s="99">
        <v>28.793589118198899</v>
      </c>
      <c r="SE79" s="99">
        <v>28.8410300187617</v>
      </c>
      <c r="SF79" s="99">
        <v>28.8884709193246</v>
      </c>
      <c r="SG79" s="99">
        <v>28.935911819887401</v>
      </c>
      <c r="SH79" s="99">
        <v>28.983352720450299</v>
      </c>
      <c r="SI79" s="99">
        <v>29.0307936210131</v>
      </c>
      <c r="SJ79" s="99">
        <v>29.078234521576</v>
      </c>
      <c r="SK79" s="99">
        <v>29.125675422138801</v>
      </c>
      <c r="SL79" s="99">
        <v>29.173116322701699</v>
      </c>
      <c r="SM79" s="99">
        <v>29.2205572232645</v>
      </c>
      <c r="SN79" s="99">
        <v>29.2679981238274</v>
      </c>
      <c r="SO79" s="99">
        <v>29.315439024390301</v>
      </c>
      <c r="SP79" s="99">
        <v>29.362879924953099</v>
      </c>
      <c r="SQ79" s="99">
        <v>29.410320825515999</v>
      </c>
      <c r="SR79" s="99">
        <v>29.4577617260788</v>
      </c>
      <c r="SS79" s="99">
        <v>29.505202626641701</v>
      </c>
      <c r="ST79" s="99">
        <v>29.552643527204498</v>
      </c>
      <c r="SU79" s="99">
        <v>29.600084427767399</v>
      </c>
      <c r="SV79" s="99">
        <v>29.6475253283302</v>
      </c>
      <c r="SW79" s="99">
        <v>29.694966228893101</v>
      </c>
      <c r="SX79" s="99">
        <v>29.742407129455898</v>
      </c>
      <c r="SY79" s="99">
        <v>29.789848030018799</v>
      </c>
      <c r="SZ79" s="99">
        <v>29.8372889305816</v>
      </c>
      <c r="TA79" s="99">
        <v>29.884729831144501</v>
      </c>
      <c r="TB79" s="99">
        <v>29.932170731707298</v>
      </c>
      <c r="TC79" s="99">
        <v>29.979611632270199</v>
      </c>
      <c r="TD79" s="99">
        <v>30.027052532833</v>
      </c>
      <c r="TE79" s="99">
        <v>30.074493433395901</v>
      </c>
      <c r="TF79" s="99">
        <v>30.121934333958698</v>
      </c>
      <c r="TG79" s="99">
        <v>30.169375234521599</v>
      </c>
      <c r="TH79" s="99">
        <v>30.2168161350844</v>
      </c>
      <c r="TI79" s="99">
        <v>30.264257035647301</v>
      </c>
      <c r="TJ79" s="99">
        <v>30.311697936210098</v>
      </c>
      <c r="TK79" s="99">
        <v>30.359138836772999</v>
      </c>
      <c r="TL79" s="99">
        <v>30.4065797373358</v>
      </c>
      <c r="TM79" s="99">
        <v>30.454020637898701</v>
      </c>
      <c r="TN79" s="99">
        <v>30.501461538461498</v>
      </c>
      <c r="TO79" s="99">
        <v>30.548902439024399</v>
      </c>
      <c r="TP79" s="99">
        <v>30.5963433395873</v>
      </c>
      <c r="TQ79" s="99">
        <v>30.643784240150101</v>
      </c>
      <c r="TR79" s="99">
        <v>30.691225140713001</v>
      </c>
      <c r="TS79" s="99">
        <v>30.738666041275799</v>
      </c>
      <c r="TT79" s="99">
        <v>30.7861069418387</v>
      </c>
      <c r="TU79" s="99">
        <v>30.833547842401501</v>
      </c>
      <c r="TV79" s="99">
        <v>30.880988742964401</v>
      </c>
      <c r="TW79" s="99">
        <v>30.928429643527199</v>
      </c>
      <c r="TX79" s="99">
        <v>30.9758705440901</v>
      </c>
      <c r="TY79" s="99">
        <v>31.023311444652901</v>
      </c>
      <c r="TZ79" s="99">
        <v>31.070752345215801</v>
      </c>
      <c r="UA79" s="99">
        <v>31.118193245778599</v>
      </c>
      <c r="UB79" s="99">
        <v>31.1656341463415</v>
      </c>
      <c r="UC79" s="99">
        <v>31.213075046904301</v>
      </c>
      <c r="UD79" s="99">
        <v>31.260515947467201</v>
      </c>
      <c r="UE79" s="99">
        <v>31.307956848029999</v>
      </c>
      <c r="UF79" s="99">
        <v>31.3553977485929</v>
      </c>
      <c r="UG79" s="99">
        <v>31.402838649155701</v>
      </c>
      <c r="UH79" s="99">
        <v>31.450279549718601</v>
      </c>
      <c r="UI79" s="99">
        <v>31.497720450281399</v>
      </c>
      <c r="UJ79" s="99">
        <v>31.5451613508443</v>
      </c>
      <c r="UK79" s="99">
        <v>31.592602251407101</v>
      </c>
      <c r="UL79" s="99">
        <v>31.640043151970001</v>
      </c>
      <c r="UM79" s="99">
        <v>31.687484052532799</v>
      </c>
      <c r="UN79" s="99">
        <v>31.7349249530957</v>
      </c>
      <c r="UO79" s="99">
        <v>31.782365853658501</v>
      </c>
      <c r="UP79" s="99">
        <v>31.829806754221401</v>
      </c>
      <c r="UQ79" s="99">
        <v>31.877247654784199</v>
      </c>
      <c r="UR79" s="99">
        <v>31.9246885553471</v>
      </c>
      <c r="US79" s="99">
        <v>31.972129455909901</v>
      </c>
      <c r="UT79" s="99">
        <v>32.019570356472798</v>
      </c>
    </row>
    <row r="80" spans="1:566" x14ac:dyDescent="0.2">
      <c r="A80" s="89">
        <v>37</v>
      </c>
      <c r="B80" s="90">
        <v>5.22</v>
      </c>
      <c r="C80" s="90">
        <v>5.27</v>
      </c>
      <c r="D80" s="90">
        <v>5.31</v>
      </c>
      <c r="E80" s="90">
        <v>5.36</v>
      </c>
      <c r="F80" s="90">
        <v>5.41</v>
      </c>
      <c r="G80" s="90">
        <v>5.45</v>
      </c>
      <c r="H80" s="90">
        <v>5.5</v>
      </c>
      <c r="I80" s="90">
        <v>5.55</v>
      </c>
      <c r="J80" s="90">
        <v>5.6</v>
      </c>
      <c r="K80" s="90">
        <v>5.64</v>
      </c>
      <c r="L80" s="90">
        <v>5.69</v>
      </c>
      <c r="M80" s="90">
        <v>5.74</v>
      </c>
      <c r="N80" s="90">
        <v>5.78</v>
      </c>
      <c r="O80" s="90">
        <v>5.83</v>
      </c>
      <c r="P80" s="90">
        <v>5.88</v>
      </c>
      <c r="Q80" s="90">
        <v>5.93</v>
      </c>
      <c r="R80" s="90">
        <v>5.97</v>
      </c>
      <c r="S80" s="90">
        <v>6.02</v>
      </c>
      <c r="T80" s="90">
        <v>6.07</v>
      </c>
      <c r="U80" s="91">
        <v>6.11</v>
      </c>
      <c r="V80" s="90">
        <v>6.16</v>
      </c>
      <c r="W80" s="90">
        <v>6.21</v>
      </c>
      <c r="X80" s="90">
        <v>6.26</v>
      </c>
      <c r="Y80" s="90">
        <v>6.3</v>
      </c>
      <c r="Z80" s="90">
        <v>6.35</v>
      </c>
      <c r="AA80" s="90">
        <v>6.4</v>
      </c>
      <c r="AB80" s="90">
        <v>6.44</v>
      </c>
      <c r="AC80" s="90">
        <v>6.49</v>
      </c>
      <c r="AD80" s="90">
        <v>6.54</v>
      </c>
      <c r="AE80" s="90">
        <v>6.59</v>
      </c>
      <c r="AF80" s="90">
        <v>6.63</v>
      </c>
      <c r="AG80" s="90">
        <v>6.68</v>
      </c>
      <c r="AH80" s="90">
        <v>6.73</v>
      </c>
      <c r="AI80" s="90">
        <v>6.77</v>
      </c>
      <c r="AJ80" s="90">
        <v>6.82</v>
      </c>
      <c r="AK80" s="90">
        <v>6.87</v>
      </c>
      <c r="AL80" s="90">
        <v>6.92</v>
      </c>
      <c r="AM80" s="90">
        <v>6.96</v>
      </c>
      <c r="AN80" s="90">
        <v>7.01</v>
      </c>
      <c r="AO80" s="91">
        <v>7.06</v>
      </c>
      <c r="AP80" s="90">
        <v>7.1044230769230703</v>
      </c>
      <c r="AQ80" s="90">
        <v>7.1515656660412699</v>
      </c>
      <c r="AR80" s="90">
        <v>7.1987082551594703</v>
      </c>
      <c r="AS80" s="90">
        <v>7.2458508442776699</v>
      </c>
      <c r="AT80" s="90">
        <v>7.2929934333958704</v>
      </c>
      <c r="AU80" s="90">
        <v>7.3401360225140699</v>
      </c>
      <c r="AV80" s="90">
        <v>7.3872786116322704</v>
      </c>
      <c r="AW80" s="90">
        <v>7.43442120075047</v>
      </c>
      <c r="AX80" s="90">
        <v>7.4815637898686704</v>
      </c>
      <c r="AY80" s="90">
        <v>7.5287063789868602</v>
      </c>
      <c r="AZ80" s="90">
        <v>7.5758489681050598</v>
      </c>
      <c r="BA80" s="90">
        <v>7.6229915572232603</v>
      </c>
      <c r="BB80" s="90">
        <v>7.6701341463414598</v>
      </c>
      <c r="BC80" s="90">
        <v>7.7172767354596603</v>
      </c>
      <c r="BD80" s="90">
        <v>7.7644193245778599</v>
      </c>
      <c r="BE80" s="90">
        <v>7.8115619136960603</v>
      </c>
      <c r="BF80" s="90">
        <v>7.8587045028142599</v>
      </c>
      <c r="BG80" s="90">
        <v>7.9058470919324604</v>
      </c>
      <c r="BH80" s="90">
        <v>7.9529896810506502</v>
      </c>
      <c r="BI80" s="91">
        <v>8.0001322701688498</v>
      </c>
      <c r="BJ80" s="90">
        <v>8.0472748592870502</v>
      </c>
      <c r="BK80" s="99">
        <v>8.0944174484052507</v>
      </c>
      <c r="BL80" s="99">
        <v>8.1415600375234494</v>
      </c>
      <c r="BM80" s="99">
        <v>8.1887026266416498</v>
      </c>
      <c r="BN80" s="99">
        <v>8.2358452157598503</v>
      </c>
      <c r="BO80" s="99">
        <v>8.2829878048780508</v>
      </c>
      <c r="BP80" s="99">
        <v>8.3301303939962494</v>
      </c>
      <c r="BQ80" s="99">
        <v>8.3772729831144392</v>
      </c>
      <c r="BR80" s="99">
        <v>8.4244155722326397</v>
      </c>
      <c r="BS80" s="99">
        <v>8.4715581613508402</v>
      </c>
      <c r="BT80" s="99">
        <v>8.5187007504690406</v>
      </c>
      <c r="BU80" s="99">
        <v>8.5658433395872393</v>
      </c>
      <c r="BV80" s="99">
        <v>8.6129859287054398</v>
      </c>
      <c r="BW80" s="99">
        <v>8.6601285178236402</v>
      </c>
      <c r="BX80" s="99">
        <v>8.7072711069418407</v>
      </c>
      <c r="BY80" s="99">
        <v>8.7544136960600394</v>
      </c>
      <c r="BZ80" s="99">
        <v>8.8015562851782292</v>
      </c>
      <c r="CA80" s="99">
        <v>8.8486988742964297</v>
      </c>
      <c r="CB80" s="99">
        <v>8.8958414634146301</v>
      </c>
      <c r="CC80" s="99">
        <v>8.9429840525328306</v>
      </c>
      <c r="CD80" s="99">
        <v>8.9901266416510293</v>
      </c>
      <c r="CE80" s="99">
        <v>9.0372692307692297</v>
      </c>
      <c r="CF80" s="99">
        <v>9.0844118198874302</v>
      </c>
      <c r="CG80" s="99">
        <v>9.1315544090056306</v>
      </c>
      <c r="CH80" s="99">
        <v>9.1786969981238293</v>
      </c>
      <c r="CI80" s="99">
        <v>9.2258395872420191</v>
      </c>
      <c r="CJ80" s="99">
        <v>9.2729821763602196</v>
      </c>
      <c r="CK80" s="99">
        <v>9.3201247654784201</v>
      </c>
      <c r="CL80" s="99">
        <v>9.3672673545966205</v>
      </c>
      <c r="CM80" s="99">
        <v>9.4144099437148192</v>
      </c>
      <c r="CN80" s="99">
        <v>9.4615525328330197</v>
      </c>
      <c r="CO80" s="99">
        <v>9.5086951219512201</v>
      </c>
      <c r="CP80" s="99">
        <v>9.5558377110694206</v>
      </c>
      <c r="CQ80" s="99">
        <v>9.6029803001876193</v>
      </c>
      <c r="CR80" s="99">
        <v>9.6501228893058109</v>
      </c>
      <c r="CS80" s="99">
        <v>9.6972654784240095</v>
      </c>
      <c r="CT80" s="99">
        <v>9.74440806754221</v>
      </c>
      <c r="CU80" s="99">
        <v>9.7915506566604105</v>
      </c>
      <c r="CV80" s="99">
        <v>9.8386932457786092</v>
      </c>
      <c r="CW80" s="99">
        <v>9.8858358348968096</v>
      </c>
      <c r="CX80" s="99">
        <v>9.9329784240150101</v>
      </c>
      <c r="CY80" s="99">
        <v>9.9801210131332105</v>
      </c>
      <c r="CZ80" s="99">
        <v>10.0272636022514</v>
      </c>
      <c r="DA80" s="99">
        <v>10.074406191369601</v>
      </c>
      <c r="DB80" s="99">
        <v>10.121548780487799</v>
      </c>
      <c r="DC80" s="99">
        <v>10.168691369606</v>
      </c>
      <c r="DD80" s="99">
        <v>10.2158339587242</v>
      </c>
      <c r="DE80" s="99">
        <v>10.262976547842401</v>
      </c>
      <c r="DF80" s="99">
        <v>10.3101191369606</v>
      </c>
      <c r="DG80" s="99">
        <v>10.3572617260788</v>
      </c>
      <c r="DH80" s="99">
        <v>10.404404315197</v>
      </c>
      <c r="DI80" s="99">
        <v>10.451546904315199</v>
      </c>
      <c r="DJ80" s="99">
        <v>10.4986894934334</v>
      </c>
      <c r="DK80" s="99">
        <v>10.5458320825516</v>
      </c>
      <c r="DL80" s="99">
        <v>10.592974671669801</v>
      </c>
      <c r="DM80" s="99">
        <v>10.640117260787999</v>
      </c>
      <c r="DN80" s="99">
        <v>10.6872598499062</v>
      </c>
      <c r="DO80" s="99">
        <v>10.7344024390244</v>
      </c>
      <c r="DP80" s="99">
        <v>10.781545028142601</v>
      </c>
      <c r="DQ80" s="99">
        <v>10.828687617260799</v>
      </c>
      <c r="DR80" s="99">
        <v>10.875830206379</v>
      </c>
      <c r="DS80" s="99">
        <v>10.9229727954972</v>
      </c>
      <c r="DT80" s="99">
        <v>10.970115384615401</v>
      </c>
      <c r="DU80" s="99">
        <v>11.017257973733599</v>
      </c>
      <c r="DV80" s="99">
        <v>11.0644005628518</v>
      </c>
      <c r="DW80" s="99">
        <v>11.11154315197</v>
      </c>
      <c r="DX80" s="99">
        <v>11.158685741088201</v>
      </c>
      <c r="DY80" s="99">
        <v>11.205828330206399</v>
      </c>
      <c r="DZ80" s="99">
        <v>11.2529709193246</v>
      </c>
      <c r="EA80" s="99">
        <v>11.3001135084428</v>
      </c>
      <c r="EB80" s="99">
        <v>11.347256097561001</v>
      </c>
      <c r="EC80" s="99">
        <v>11.3943986866792</v>
      </c>
      <c r="ED80" s="99">
        <v>11.4415412757974</v>
      </c>
      <c r="EE80" s="99">
        <v>11.4886838649156</v>
      </c>
      <c r="EF80" s="99">
        <v>11.535826454033799</v>
      </c>
      <c r="EG80" s="99">
        <v>11.582969043152</v>
      </c>
      <c r="EH80" s="99">
        <v>11.6301116322702</v>
      </c>
      <c r="EI80" s="99">
        <v>11.677254221388401</v>
      </c>
      <c r="EJ80" s="99">
        <v>11.724396810506599</v>
      </c>
      <c r="EK80" s="99">
        <v>11.7715393996248</v>
      </c>
      <c r="EL80" s="99">
        <v>11.818681988743</v>
      </c>
      <c r="EM80" s="99">
        <v>11.865824577861201</v>
      </c>
      <c r="EN80" s="99">
        <v>11.912967166979399</v>
      </c>
      <c r="EO80" s="99">
        <v>11.9601097560976</v>
      </c>
      <c r="EP80" s="99">
        <v>12.0072523452158</v>
      </c>
      <c r="EQ80" s="99">
        <v>12.054394934334001</v>
      </c>
      <c r="ER80" s="99">
        <v>12.101537523452199</v>
      </c>
      <c r="ES80" s="99">
        <v>12.1486801125704</v>
      </c>
      <c r="ET80" s="99">
        <v>12.1958227016886</v>
      </c>
      <c r="EU80" s="99">
        <v>12.242965290806801</v>
      </c>
      <c r="EV80" s="99">
        <v>12.290107879924999</v>
      </c>
      <c r="EW80" s="99">
        <v>12.3372504690432</v>
      </c>
      <c r="EX80" s="99">
        <v>12.3843930581614</v>
      </c>
      <c r="EY80" s="99">
        <v>12.431535647279601</v>
      </c>
      <c r="EZ80" s="99">
        <v>12.478678236397799</v>
      </c>
      <c r="FA80" s="99">
        <v>12.525820825516</v>
      </c>
      <c r="FB80" s="99">
        <v>12.572963414634099</v>
      </c>
      <c r="FC80" s="99">
        <v>12.6201060037523</v>
      </c>
      <c r="FD80" s="99">
        <v>12.6672485928705</v>
      </c>
      <c r="FE80" s="99">
        <v>12.714391181988701</v>
      </c>
      <c r="FF80" s="99">
        <v>12.761533771106899</v>
      </c>
      <c r="FG80" s="99">
        <v>12.8086763602251</v>
      </c>
      <c r="FH80" s="99">
        <v>12.8558189493433</v>
      </c>
      <c r="FI80" s="99">
        <v>12.902961538461501</v>
      </c>
      <c r="FJ80" s="99">
        <v>12.950104127579699</v>
      </c>
      <c r="FK80" s="99">
        <v>12.9972467166979</v>
      </c>
      <c r="FL80" s="99">
        <v>13.0443893058161</v>
      </c>
      <c r="FM80" s="99">
        <v>13.091531894934301</v>
      </c>
      <c r="FN80" s="99">
        <v>13.138674484052499</v>
      </c>
      <c r="FO80" s="99">
        <v>13.1858170731707</v>
      </c>
      <c r="FP80" s="99">
        <v>13.2329596622889</v>
      </c>
      <c r="FQ80" s="99">
        <v>13.280102251407101</v>
      </c>
      <c r="FR80" s="99">
        <v>13.327244840525299</v>
      </c>
      <c r="FS80" s="99">
        <v>13.3743874296435</v>
      </c>
      <c r="FT80" s="99">
        <v>13.4215300187617</v>
      </c>
      <c r="FU80" s="99">
        <v>13.468672607879901</v>
      </c>
      <c r="FV80" s="99">
        <v>13.5158151969981</v>
      </c>
      <c r="FW80" s="99">
        <v>13.5629577861163</v>
      </c>
      <c r="FX80" s="99">
        <v>13.6101003752345</v>
      </c>
      <c r="FY80" s="99">
        <v>13.657242964352699</v>
      </c>
      <c r="FZ80" s="99">
        <v>13.7043855534709</v>
      </c>
      <c r="GA80" s="99">
        <v>13.7515281425891</v>
      </c>
      <c r="GB80" s="99">
        <v>13.798670731707301</v>
      </c>
      <c r="GC80" s="99">
        <v>13.845813320825499</v>
      </c>
      <c r="GD80" s="99">
        <v>13.8929559099437</v>
      </c>
      <c r="GE80" s="99">
        <v>13.9400984990619</v>
      </c>
      <c r="GF80" s="99">
        <v>13.987241088180101</v>
      </c>
      <c r="GG80" s="99">
        <v>14.034383677298299</v>
      </c>
      <c r="GH80" s="99">
        <v>14.0815262664165</v>
      </c>
      <c r="GI80" s="99">
        <v>14.1286688555347</v>
      </c>
      <c r="GJ80" s="99">
        <v>14.175811444652901</v>
      </c>
      <c r="GK80" s="99">
        <v>14.222954033771099</v>
      </c>
      <c r="GL80" s="99">
        <v>14.2700966228893</v>
      </c>
      <c r="GM80" s="99">
        <v>14.3172392120075</v>
      </c>
      <c r="GN80" s="99">
        <v>14.364381801125701</v>
      </c>
      <c r="GO80" s="99">
        <v>14.411524390243899</v>
      </c>
      <c r="GP80" s="99">
        <v>14.4586669793621</v>
      </c>
      <c r="GQ80" s="99">
        <v>14.5058095684803</v>
      </c>
      <c r="GR80" s="99">
        <v>14.552952157598501</v>
      </c>
      <c r="GS80" s="99">
        <v>14.600094746716699</v>
      </c>
      <c r="GT80" s="99">
        <v>14.6472373358349</v>
      </c>
      <c r="GU80" s="99">
        <v>14.6943799249531</v>
      </c>
      <c r="GV80" s="99">
        <v>14.741522514071301</v>
      </c>
      <c r="GW80" s="99">
        <v>14.7886651031895</v>
      </c>
      <c r="GX80" s="99">
        <v>14.8358076923077</v>
      </c>
      <c r="GY80" s="99">
        <v>14.8829502814259</v>
      </c>
      <c r="GZ80" s="99">
        <v>14.930092870544099</v>
      </c>
      <c r="HA80" s="99">
        <v>14.9772354596623</v>
      </c>
      <c r="HB80" s="99">
        <v>15.0243780487805</v>
      </c>
      <c r="HC80" s="99">
        <v>15.071520637898701</v>
      </c>
      <c r="HD80" s="99">
        <v>15.118663227016899</v>
      </c>
      <c r="HE80" s="99">
        <v>15.1658058161351</v>
      </c>
      <c r="HF80" s="99">
        <v>15.2129484052533</v>
      </c>
      <c r="HG80" s="99">
        <v>15.260090994371501</v>
      </c>
      <c r="HH80" s="99">
        <v>15.307233583489699</v>
      </c>
      <c r="HI80" s="99">
        <v>15.3543761726079</v>
      </c>
      <c r="HJ80" s="99">
        <v>15.4015187617261</v>
      </c>
      <c r="HK80" s="99">
        <v>15.448661350844301</v>
      </c>
      <c r="HL80" s="99">
        <v>15.495803939962499</v>
      </c>
      <c r="HM80" s="99">
        <v>15.5429465290807</v>
      </c>
      <c r="HN80" s="99">
        <v>15.5900891181989</v>
      </c>
      <c r="HO80" s="99">
        <v>15.637231707317101</v>
      </c>
      <c r="HP80" s="99">
        <v>15.6843742964352</v>
      </c>
      <c r="HQ80" s="99">
        <v>15.7315168855534</v>
      </c>
      <c r="HR80" s="99">
        <v>15.778659474671599</v>
      </c>
      <c r="HS80" s="99">
        <v>15.8258020637898</v>
      </c>
      <c r="HT80" s="99">
        <v>15.872944652908</v>
      </c>
      <c r="HU80" s="99">
        <v>15.920087242026201</v>
      </c>
      <c r="HV80" s="99">
        <v>15.967229831144399</v>
      </c>
      <c r="HW80" s="99">
        <v>16.0143724202626</v>
      </c>
      <c r="HX80" s="99">
        <v>16.061515009380798</v>
      </c>
      <c r="HY80" s="99">
        <v>16.108657598499001</v>
      </c>
      <c r="HZ80" s="99">
        <v>16.155800187617199</v>
      </c>
      <c r="IA80" s="99">
        <v>16.202942776735402</v>
      </c>
      <c r="IB80" s="99">
        <v>16.2500853658536</v>
      </c>
      <c r="IC80" s="99">
        <v>16.297227954971799</v>
      </c>
      <c r="ID80" s="99">
        <v>16.344370544090001</v>
      </c>
      <c r="IE80" s="99">
        <v>16.3915131332082</v>
      </c>
      <c r="IF80" s="99">
        <v>16.438655722326398</v>
      </c>
      <c r="IG80" s="99">
        <v>16.485798311444601</v>
      </c>
      <c r="IH80" s="99">
        <v>16.532940900562799</v>
      </c>
      <c r="II80" s="99">
        <v>16.580083489681002</v>
      </c>
      <c r="IJ80" s="99">
        <v>16.6272260787992</v>
      </c>
      <c r="IK80" s="99">
        <v>16.674368667917399</v>
      </c>
      <c r="IL80" s="99">
        <v>16.721511257035601</v>
      </c>
      <c r="IM80" s="99">
        <v>16.7686538461538</v>
      </c>
      <c r="IN80" s="99">
        <v>16.815796435271999</v>
      </c>
      <c r="IO80" s="99">
        <v>16.862939024390201</v>
      </c>
      <c r="IP80" s="99">
        <v>16.9100816135084</v>
      </c>
      <c r="IQ80" s="99">
        <v>16.957224202626598</v>
      </c>
      <c r="IR80" s="99">
        <v>17.0043667917448</v>
      </c>
      <c r="IS80" s="99">
        <v>17.051509380862999</v>
      </c>
      <c r="IT80" s="99">
        <v>17.098651969981201</v>
      </c>
      <c r="IU80" s="99">
        <v>17.1457945590994</v>
      </c>
      <c r="IV80" s="99">
        <v>17.192937148217599</v>
      </c>
      <c r="IW80" s="99">
        <v>17.240079737335801</v>
      </c>
      <c r="IX80" s="99">
        <v>17.287222326454</v>
      </c>
      <c r="IY80" s="99">
        <v>17.334364915572198</v>
      </c>
      <c r="IZ80" s="99">
        <v>17.381507504690401</v>
      </c>
      <c r="JA80" s="99">
        <v>17.428650093808599</v>
      </c>
      <c r="JB80" s="99">
        <v>17.475792682926802</v>
      </c>
      <c r="JC80" s="99">
        <v>17.522935272045</v>
      </c>
      <c r="JD80" s="99">
        <v>17.570077861163199</v>
      </c>
      <c r="JE80" s="99">
        <v>17.617220450281401</v>
      </c>
      <c r="JF80" s="99">
        <v>17.6643630393996</v>
      </c>
      <c r="JG80" s="99">
        <v>17.711505628517799</v>
      </c>
      <c r="JH80" s="99">
        <v>17.758648217636001</v>
      </c>
      <c r="JI80" s="99">
        <v>17.805790806754199</v>
      </c>
      <c r="JJ80" s="99">
        <v>17.852933395872402</v>
      </c>
      <c r="JK80" s="99">
        <v>17.9000759849906</v>
      </c>
      <c r="JL80" s="99">
        <v>17.947218574108799</v>
      </c>
      <c r="JM80" s="99">
        <v>17.994361163227001</v>
      </c>
      <c r="JN80" s="99">
        <v>18.0415037523452</v>
      </c>
      <c r="JO80" s="99">
        <v>18.088646341463399</v>
      </c>
      <c r="JP80" s="99">
        <v>18.135788930581601</v>
      </c>
      <c r="JQ80" s="99">
        <v>18.1829315196998</v>
      </c>
      <c r="JR80" s="99">
        <v>18.230074108817998</v>
      </c>
      <c r="JS80" s="99">
        <v>18.277216697936201</v>
      </c>
      <c r="JT80" s="99">
        <v>18.324359287054399</v>
      </c>
      <c r="JU80" s="99">
        <v>18.371501876172601</v>
      </c>
      <c r="JV80" s="99">
        <v>18.4186444652908</v>
      </c>
      <c r="JW80" s="99">
        <v>18.465787054408999</v>
      </c>
      <c r="JX80" s="99">
        <v>18.512929643527201</v>
      </c>
      <c r="JY80" s="99">
        <v>18.5600722326454</v>
      </c>
      <c r="JZ80" s="99">
        <v>18.607214821763598</v>
      </c>
      <c r="KA80" s="99">
        <v>18.654357410881801</v>
      </c>
      <c r="KB80" s="99">
        <v>18.701499999999999</v>
      </c>
      <c r="KC80" s="99">
        <v>18.748642589118202</v>
      </c>
      <c r="KD80" s="99">
        <v>18.7957851782364</v>
      </c>
      <c r="KE80" s="99">
        <v>18.842927767354599</v>
      </c>
      <c r="KF80" s="99">
        <v>18.890070356472801</v>
      </c>
      <c r="KG80" s="99">
        <v>18.937212945591</v>
      </c>
      <c r="KH80" s="99">
        <v>18.984355534709199</v>
      </c>
      <c r="KI80" s="99">
        <v>19.031498123827401</v>
      </c>
      <c r="KJ80" s="99">
        <v>19.078640712945599</v>
      </c>
      <c r="KK80" s="99">
        <v>19.125783302063802</v>
      </c>
      <c r="KL80" s="99">
        <v>19.172925891182</v>
      </c>
      <c r="KM80" s="99">
        <v>19.220068480300199</v>
      </c>
      <c r="KN80" s="99">
        <v>19.267211069418401</v>
      </c>
      <c r="KO80" s="99">
        <v>19.3143536585366</v>
      </c>
      <c r="KP80" s="99">
        <v>19.361496247654799</v>
      </c>
      <c r="KQ80" s="99">
        <v>19.408638836773001</v>
      </c>
      <c r="KR80" s="99">
        <v>19.4557814258912</v>
      </c>
      <c r="KS80" s="99">
        <v>19.502924015009398</v>
      </c>
      <c r="KT80" s="99">
        <v>19.550066604127601</v>
      </c>
      <c r="KU80" s="99">
        <v>19.597209193245799</v>
      </c>
      <c r="KV80" s="99">
        <v>19.644351782364001</v>
      </c>
      <c r="KW80" s="99">
        <v>19.6914943714822</v>
      </c>
      <c r="KX80" s="99">
        <v>19.738636960600399</v>
      </c>
      <c r="KY80" s="99">
        <v>19.785779549718601</v>
      </c>
      <c r="KZ80" s="99">
        <v>19.8329221388368</v>
      </c>
      <c r="LA80" s="99">
        <v>19.880064727954899</v>
      </c>
      <c r="LB80" s="99">
        <v>19.927207317073101</v>
      </c>
      <c r="LC80" s="99">
        <v>19.9743499061913</v>
      </c>
      <c r="LD80" s="99">
        <v>20.021492495309499</v>
      </c>
      <c r="LE80" s="99">
        <v>20.068635084427701</v>
      </c>
      <c r="LF80" s="99">
        <v>20.1157776735459</v>
      </c>
      <c r="LG80" s="99">
        <v>20.162920262664102</v>
      </c>
      <c r="LH80" s="99">
        <v>20.2100628517823</v>
      </c>
      <c r="LI80" s="99">
        <v>20.257205440900499</v>
      </c>
      <c r="LJ80" s="99">
        <v>20.304348030018701</v>
      </c>
      <c r="LK80" s="99">
        <v>20.3514906191369</v>
      </c>
      <c r="LL80" s="99">
        <v>20.398633208255099</v>
      </c>
      <c r="LM80" s="99">
        <v>20.445775797373301</v>
      </c>
      <c r="LN80" s="99">
        <v>20.4929183864915</v>
      </c>
      <c r="LO80" s="99">
        <v>20.540060975609698</v>
      </c>
      <c r="LP80" s="99">
        <v>20.587203564727901</v>
      </c>
      <c r="LQ80" s="99">
        <v>20.634346153846099</v>
      </c>
      <c r="LR80" s="99">
        <v>20.681488742964302</v>
      </c>
      <c r="LS80" s="99">
        <v>20.7286313320825</v>
      </c>
      <c r="LT80" s="99">
        <v>20.775773921200699</v>
      </c>
      <c r="LU80" s="99">
        <v>20.822916510318901</v>
      </c>
      <c r="LV80" s="99">
        <v>20.8700590994371</v>
      </c>
      <c r="LW80" s="99">
        <v>20.917201688555298</v>
      </c>
      <c r="LX80" s="99">
        <v>20.964344277673501</v>
      </c>
      <c r="LY80" s="99">
        <v>21.011486866791699</v>
      </c>
      <c r="LZ80" s="99">
        <v>21.058629455909902</v>
      </c>
      <c r="MA80" s="99">
        <v>21.1057720450281</v>
      </c>
      <c r="MB80" s="99">
        <v>21.152914634146299</v>
      </c>
      <c r="MC80" s="99">
        <v>21.200057223264501</v>
      </c>
      <c r="MD80" s="99">
        <v>21.2471998123827</v>
      </c>
      <c r="ME80" s="99">
        <v>21.294342401500899</v>
      </c>
      <c r="MF80" s="99">
        <v>21.341484990619101</v>
      </c>
      <c r="MG80" s="99">
        <v>21.3886275797373</v>
      </c>
      <c r="MH80" s="99">
        <v>21.435770168855498</v>
      </c>
      <c r="MI80" s="99">
        <v>21.4829127579737</v>
      </c>
      <c r="MJ80" s="99">
        <v>21.530055347091899</v>
      </c>
      <c r="MK80" s="99">
        <v>21.577197936210101</v>
      </c>
      <c r="ML80" s="99">
        <v>21.6243405253283</v>
      </c>
      <c r="MM80" s="99">
        <v>21.671483114446499</v>
      </c>
      <c r="MN80" s="99">
        <v>21.718625703564701</v>
      </c>
      <c r="MO80" s="99">
        <v>21.7657682926829</v>
      </c>
      <c r="MP80" s="99">
        <v>21.812910881801098</v>
      </c>
      <c r="MQ80" s="99">
        <v>21.860053470919301</v>
      </c>
      <c r="MR80" s="99">
        <v>21.907196060037499</v>
      </c>
      <c r="MS80" s="99">
        <v>21.954338649155702</v>
      </c>
      <c r="MT80" s="99">
        <v>22.0014812382739</v>
      </c>
      <c r="MU80" s="99">
        <v>22.048623827392099</v>
      </c>
      <c r="MV80" s="99">
        <v>22.095766416510301</v>
      </c>
      <c r="MW80" s="99">
        <v>22.1429090056285</v>
      </c>
      <c r="MX80" s="99">
        <v>22.190051594746699</v>
      </c>
      <c r="MY80" s="99">
        <v>22.237194183864901</v>
      </c>
      <c r="MZ80" s="99">
        <v>22.284336772983099</v>
      </c>
      <c r="NA80" s="99">
        <v>22.331479362101302</v>
      </c>
      <c r="NB80" s="99">
        <v>22.3786219512195</v>
      </c>
      <c r="NC80" s="99">
        <v>22.425764540337699</v>
      </c>
      <c r="ND80" s="99">
        <v>22.472907129455901</v>
      </c>
      <c r="NE80" s="99">
        <v>22.5200497185741</v>
      </c>
      <c r="NF80" s="99">
        <v>22.567192307692299</v>
      </c>
      <c r="NG80" s="99">
        <v>22.614334896810501</v>
      </c>
      <c r="NH80" s="99">
        <v>22.6614774859287</v>
      </c>
      <c r="NI80" s="99">
        <v>22.708620075046898</v>
      </c>
      <c r="NJ80" s="99">
        <v>22.755762664165101</v>
      </c>
      <c r="NK80" s="99">
        <v>22.802905253283299</v>
      </c>
      <c r="NL80" s="99">
        <v>22.850047842401501</v>
      </c>
      <c r="NM80" s="99">
        <v>22.8971904315197</v>
      </c>
      <c r="NN80" s="99">
        <v>22.944333020637899</v>
      </c>
      <c r="NO80" s="99">
        <v>22.991475609756101</v>
      </c>
      <c r="NP80" s="99">
        <v>23.0386181988743</v>
      </c>
      <c r="NQ80" s="99">
        <v>23.085760787992498</v>
      </c>
      <c r="NR80" s="99">
        <v>23.132903377110701</v>
      </c>
      <c r="NS80" s="99">
        <v>23.180045966228899</v>
      </c>
      <c r="NT80" s="99">
        <v>23.227188555347102</v>
      </c>
      <c r="NU80" s="99">
        <v>23.2743311444653</v>
      </c>
      <c r="NV80" s="99">
        <v>23.321473733583499</v>
      </c>
      <c r="NW80" s="99">
        <v>23.368616322701701</v>
      </c>
      <c r="NX80" s="99">
        <v>23.4157589118199</v>
      </c>
      <c r="NY80" s="99">
        <v>23.462901500938099</v>
      </c>
      <c r="NZ80" s="99">
        <v>23.510044090056301</v>
      </c>
      <c r="OA80" s="99">
        <v>23.557186679174499</v>
      </c>
      <c r="OB80" s="99">
        <v>23.604329268292702</v>
      </c>
      <c r="OC80" s="99">
        <v>23.6514718574109</v>
      </c>
      <c r="OD80" s="99">
        <v>23.698614446529099</v>
      </c>
      <c r="OE80" s="99">
        <v>23.745757035647301</v>
      </c>
      <c r="OF80" s="99">
        <v>23.7928996247655</v>
      </c>
      <c r="OG80" s="99">
        <v>23.840042213883699</v>
      </c>
      <c r="OH80" s="99">
        <v>23.887184803001901</v>
      </c>
      <c r="OI80" s="99">
        <v>23.9343273921201</v>
      </c>
      <c r="OJ80" s="99">
        <v>23.981469981238298</v>
      </c>
      <c r="OK80" s="99">
        <v>24.028612570356501</v>
      </c>
      <c r="OL80" s="99">
        <v>24.0757551594746</v>
      </c>
      <c r="OM80" s="99">
        <v>24.122897748592798</v>
      </c>
      <c r="ON80" s="99">
        <v>24.170040337711001</v>
      </c>
      <c r="OO80" s="99">
        <v>24.217182926829199</v>
      </c>
      <c r="OP80" s="99">
        <v>24.264325515947402</v>
      </c>
      <c r="OQ80" s="99">
        <v>24.3114681050656</v>
      </c>
      <c r="OR80" s="99">
        <v>24.358610694183799</v>
      </c>
      <c r="OS80" s="99">
        <v>24.405753283302001</v>
      </c>
      <c r="OT80" s="99">
        <v>24.4528958724202</v>
      </c>
      <c r="OU80" s="99">
        <v>24.500038461538399</v>
      </c>
      <c r="OV80" s="99">
        <v>24.547181050656601</v>
      </c>
      <c r="OW80" s="99">
        <v>24.5943236397748</v>
      </c>
      <c r="OX80" s="99">
        <v>24.641466228893002</v>
      </c>
      <c r="OY80" s="99">
        <v>24.6886088180112</v>
      </c>
      <c r="OZ80" s="99">
        <v>24.735751407129399</v>
      </c>
      <c r="PA80" s="99">
        <v>24.782893996247601</v>
      </c>
      <c r="PB80" s="99">
        <v>24.8300365853658</v>
      </c>
      <c r="PC80" s="99">
        <v>24.877179174483999</v>
      </c>
      <c r="PD80" s="99">
        <v>24.924321763602201</v>
      </c>
      <c r="PE80" s="99">
        <v>24.9714643527204</v>
      </c>
      <c r="PF80" s="99">
        <v>25.018606941838598</v>
      </c>
      <c r="PG80" s="99">
        <v>25.065749530956801</v>
      </c>
      <c r="PH80" s="99">
        <v>25.112892120074999</v>
      </c>
      <c r="PI80" s="99">
        <v>25.160034709193202</v>
      </c>
      <c r="PJ80" s="99">
        <v>25.2071772983114</v>
      </c>
      <c r="PK80" s="99">
        <v>25.254319887429599</v>
      </c>
      <c r="PL80" s="99">
        <v>25.301462476547801</v>
      </c>
      <c r="PM80" s="99">
        <v>25.348605065666</v>
      </c>
      <c r="PN80" s="99">
        <v>25.395747654784198</v>
      </c>
      <c r="PO80" s="99">
        <v>25.442890243902401</v>
      </c>
      <c r="PP80" s="99">
        <v>25.490032833020599</v>
      </c>
      <c r="PQ80" s="99">
        <v>25.537175422138802</v>
      </c>
      <c r="PR80" s="99">
        <v>25.584318011257</v>
      </c>
      <c r="PS80" s="99">
        <v>25.631460600375199</v>
      </c>
      <c r="PT80" s="99">
        <v>25.678603189493401</v>
      </c>
      <c r="PU80" s="99">
        <v>25.7257457786116</v>
      </c>
      <c r="PV80" s="99">
        <v>25.772888367729799</v>
      </c>
      <c r="PW80" s="99">
        <v>25.820030956848001</v>
      </c>
      <c r="PX80" s="99">
        <v>25.8671735459662</v>
      </c>
      <c r="PY80" s="99">
        <v>25.914316135084398</v>
      </c>
      <c r="PZ80" s="99">
        <v>25.9614587242026</v>
      </c>
      <c r="QA80" s="99">
        <v>26.008601313320799</v>
      </c>
      <c r="QB80" s="99">
        <v>26.055743902439001</v>
      </c>
      <c r="QC80" s="99">
        <v>26.1028864915572</v>
      </c>
      <c r="QD80" s="99">
        <v>26.150029080675399</v>
      </c>
      <c r="QE80" s="99">
        <v>26.197171669793601</v>
      </c>
      <c r="QF80" s="99">
        <v>26.2443142589118</v>
      </c>
      <c r="QG80" s="99">
        <v>26.291456848029998</v>
      </c>
      <c r="QH80" s="99">
        <v>26.338599437148201</v>
      </c>
      <c r="QI80" s="99">
        <v>26.385742026266399</v>
      </c>
      <c r="QJ80" s="99">
        <v>26.432884615384602</v>
      </c>
      <c r="QK80" s="99">
        <v>26.4800272045028</v>
      </c>
      <c r="QL80" s="99">
        <v>26.527169793620999</v>
      </c>
      <c r="QM80" s="99">
        <v>26.574312382739201</v>
      </c>
      <c r="QN80" s="99">
        <v>26.6214549718574</v>
      </c>
      <c r="QO80" s="99">
        <v>26.668597560975599</v>
      </c>
      <c r="QP80" s="99">
        <v>26.715740150093801</v>
      </c>
      <c r="QQ80" s="99">
        <v>26.762882739211999</v>
      </c>
      <c r="QR80" s="99">
        <v>26.810025328330202</v>
      </c>
      <c r="QS80" s="99">
        <v>26.8571679174484</v>
      </c>
      <c r="QT80" s="99">
        <v>26.904310506566599</v>
      </c>
      <c r="QU80" s="99">
        <v>26.951453095684801</v>
      </c>
      <c r="QV80" s="99">
        <v>26.998595684803</v>
      </c>
      <c r="QW80" s="99">
        <v>27.045738273921199</v>
      </c>
      <c r="QX80" s="99">
        <v>27.092880863039401</v>
      </c>
      <c r="QY80" s="99">
        <v>27.1400234521576</v>
      </c>
      <c r="QZ80" s="99">
        <v>27.187166041275798</v>
      </c>
      <c r="RA80" s="99">
        <v>27.234308630394001</v>
      </c>
      <c r="RB80" s="99">
        <v>27.281451219512199</v>
      </c>
      <c r="RC80" s="99">
        <v>27.328593808630401</v>
      </c>
      <c r="RD80" s="99">
        <v>27.3757363977486</v>
      </c>
      <c r="RE80" s="99">
        <v>27.422878986866799</v>
      </c>
      <c r="RF80" s="99">
        <v>27.470021575985001</v>
      </c>
      <c r="RG80" s="99">
        <v>27.5171641651032</v>
      </c>
      <c r="RH80" s="99">
        <v>27.564306754221398</v>
      </c>
      <c r="RI80" s="99">
        <v>27.611449343339601</v>
      </c>
      <c r="RJ80" s="99">
        <v>27.658591932457799</v>
      </c>
      <c r="RK80" s="99">
        <v>27.705734521576002</v>
      </c>
      <c r="RL80" s="99">
        <v>27.7528771106942</v>
      </c>
      <c r="RM80" s="99">
        <v>27.800019699812399</v>
      </c>
      <c r="RN80" s="99">
        <v>27.847162288930601</v>
      </c>
      <c r="RO80" s="99">
        <v>27.8943048780488</v>
      </c>
      <c r="RP80" s="99">
        <v>27.941447467166999</v>
      </c>
      <c r="RQ80" s="99">
        <v>27.988590056285201</v>
      </c>
      <c r="RR80" s="99">
        <v>28.035732645403399</v>
      </c>
      <c r="RS80" s="99">
        <v>28.082875234521602</v>
      </c>
      <c r="RT80" s="99">
        <v>28.1300178236398</v>
      </c>
      <c r="RU80" s="99">
        <v>28.177160412757999</v>
      </c>
      <c r="RV80" s="99">
        <v>28.224303001876201</v>
      </c>
      <c r="RW80" s="99">
        <v>28.271445590994301</v>
      </c>
      <c r="RX80" s="99">
        <v>28.318588180112499</v>
      </c>
      <c r="RY80" s="99">
        <v>28.365730769230701</v>
      </c>
      <c r="RZ80" s="99">
        <v>28.4128733583489</v>
      </c>
      <c r="SA80" s="99">
        <v>28.460015947467099</v>
      </c>
      <c r="SB80" s="99">
        <v>28.507158536585301</v>
      </c>
      <c r="SC80" s="99">
        <v>28.5543011257035</v>
      </c>
      <c r="SD80" s="99">
        <v>28.601443714821698</v>
      </c>
      <c r="SE80" s="99">
        <v>28.648586303939901</v>
      </c>
      <c r="SF80" s="99">
        <v>28.695728893058099</v>
      </c>
      <c r="SG80" s="99">
        <v>28.742871482176302</v>
      </c>
      <c r="SH80" s="99">
        <v>28.7900140712945</v>
      </c>
      <c r="SI80" s="99">
        <v>28.837156660412699</v>
      </c>
      <c r="SJ80" s="99">
        <v>28.884299249530901</v>
      </c>
      <c r="SK80" s="99">
        <v>28.9314418386491</v>
      </c>
      <c r="SL80" s="99">
        <v>28.978584427767299</v>
      </c>
      <c r="SM80" s="99">
        <v>29.025727016885501</v>
      </c>
      <c r="SN80" s="99">
        <v>29.0728696060037</v>
      </c>
      <c r="SO80" s="99">
        <v>29.120012195121902</v>
      </c>
      <c r="SP80" s="99">
        <v>29.1671547842401</v>
      </c>
      <c r="SQ80" s="99">
        <v>29.214297373358299</v>
      </c>
      <c r="SR80" s="99">
        <v>29.261439962476501</v>
      </c>
      <c r="SS80" s="99">
        <v>29.3085825515947</v>
      </c>
      <c r="ST80" s="99">
        <v>29.355725140712899</v>
      </c>
      <c r="SU80" s="99">
        <v>29.402867729831101</v>
      </c>
      <c r="SV80" s="99">
        <v>29.4500103189493</v>
      </c>
      <c r="SW80" s="99">
        <v>29.497152908067498</v>
      </c>
      <c r="SX80" s="99">
        <v>29.544295497185701</v>
      </c>
      <c r="SY80" s="99">
        <v>29.591438086303899</v>
      </c>
      <c r="SZ80" s="99">
        <v>29.638580675422102</v>
      </c>
      <c r="TA80" s="99">
        <v>29.6857232645403</v>
      </c>
      <c r="TB80" s="99">
        <v>29.732865853658499</v>
      </c>
      <c r="TC80" s="99">
        <v>29.780008442776701</v>
      </c>
      <c r="TD80" s="99">
        <v>29.8271510318949</v>
      </c>
      <c r="TE80" s="99">
        <v>29.874293621013098</v>
      </c>
      <c r="TF80" s="99">
        <v>29.921436210131301</v>
      </c>
      <c r="TG80" s="99">
        <v>29.968578799249499</v>
      </c>
      <c r="TH80" s="99">
        <v>30.015721388367702</v>
      </c>
      <c r="TI80" s="99">
        <v>30.0628639774859</v>
      </c>
      <c r="TJ80" s="99">
        <v>30.110006566604099</v>
      </c>
      <c r="TK80" s="99">
        <v>30.157149155722301</v>
      </c>
      <c r="TL80" s="99">
        <v>30.2042917448405</v>
      </c>
      <c r="TM80" s="99">
        <v>30.251434333958699</v>
      </c>
      <c r="TN80" s="99">
        <v>30.298576923076901</v>
      </c>
      <c r="TO80" s="99">
        <v>30.3457195121951</v>
      </c>
      <c r="TP80" s="99">
        <v>30.392862101313298</v>
      </c>
      <c r="TQ80" s="99">
        <v>30.4400046904315</v>
      </c>
      <c r="TR80" s="99">
        <v>30.487147279549699</v>
      </c>
      <c r="TS80" s="99">
        <v>30.534289868667901</v>
      </c>
      <c r="TT80" s="99">
        <v>30.5814324577861</v>
      </c>
      <c r="TU80" s="99">
        <v>30.628575046904299</v>
      </c>
      <c r="TV80" s="99">
        <v>30.675717636022501</v>
      </c>
      <c r="TW80" s="99">
        <v>30.7228602251407</v>
      </c>
      <c r="TX80" s="99">
        <v>30.770002814258898</v>
      </c>
      <c r="TY80" s="99">
        <v>30.817145403377101</v>
      </c>
      <c r="TZ80" s="99">
        <v>30.864287992495299</v>
      </c>
      <c r="UA80" s="99">
        <v>30.911430581613502</v>
      </c>
      <c r="UB80" s="99">
        <v>30.9585731707317</v>
      </c>
      <c r="UC80" s="99">
        <v>31.005715759849899</v>
      </c>
      <c r="UD80" s="99">
        <v>31.052858348968101</v>
      </c>
      <c r="UE80" s="99">
        <v>31.1000009380863</v>
      </c>
      <c r="UF80" s="99">
        <v>31.147143527204499</v>
      </c>
      <c r="UG80" s="99">
        <v>31.194286116322701</v>
      </c>
      <c r="UH80" s="99">
        <v>31.241428705440899</v>
      </c>
      <c r="UI80" s="99">
        <v>31.288571294559102</v>
      </c>
      <c r="UJ80" s="99">
        <v>31.3357138836773</v>
      </c>
      <c r="UK80" s="99">
        <v>31.382856472795499</v>
      </c>
      <c r="UL80" s="99">
        <v>31.429999061913701</v>
      </c>
      <c r="UM80" s="99">
        <v>31.4771416510319</v>
      </c>
      <c r="UN80" s="99">
        <v>31.524284240150099</v>
      </c>
      <c r="UO80" s="99">
        <v>31.571426829268301</v>
      </c>
      <c r="UP80" s="99">
        <v>31.6185694183865</v>
      </c>
      <c r="UQ80" s="99">
        <v>31.665712007504698</v>
      </c>
      <c r="UR80" s="99">
        <v>31.712854596622901</v>
      </c>
      <c r="US80" s="99">
        <v>31.759997185741099</v>
      </c>
      <c r="UT80" s="99">
        <v>31.807139774859301</v>
      </c>
    </row>
    <row r="81" spans="1:566" x14ac:dyDescent="0.2">
      <c r="A81" s="89">
        <v>37.5</v>
      </c>
      <c r="B81" s="90">
        <v>5.17</v>
      </c>
      <c r="C81" s="90">
        <v>5.22</v>
      </c>
      <c r="D81" s="90">
        <v>5.27</v>
      </c>
      <c r="E81" s="90">
        <v>5.31</v>
      </c>
      <c r="F81" s="90">
        <v>5.36</v>
      </c>
      <c r="G81" s="90">
        <v>5.41</v>
      </c>
      <c r="H81" s="90">
        <v>5.45</v>
      </c>
      <c r="I81" s="90">
        <v>5.5</v>
      </c>
      <c r="J81" s="90">
        <v>5.55</v>
      </c>
      <c r="K81" s="90">
        <v>5.6</v>
      </c>
      <c r="L81" s="90">
        <v>5.64</v>
      </c>
      <c r="M81" s="90">
        <v>5.69</v>
      </c>
      <c r="N81" s="90">
        <v>5.74</v>
      </c>
      <c r="O81" s="90">
        <v>5.78</v>
      </c>
      <c r="P81" s="90">
        <v>5.83</v>
      </c>
      <c r="Q81" s="90">
        <v>5.88</v>
      </c>
      <c r="R81" s="90">
        <v>5.92</v>
      </c>
      <c r="S81" s="90">
        <v>5.97</v>
      </c>
      <c r="T81" s="90">
        <v>6.02</v>
      </c>
      <c r="U81" s="91">
        <v>6.06</v>
      </c>
      <c r="V81" s="90">
        <v>6.11</v>
      </c>
      <c r="W81" s="90">
        <v>6.16</v>
      </c>
      <c r="X81" s="90">
        <v>6.2</v>
      </c>
      <c r="Y81" s="90">
        <v>6.25</v>
      </c>
      <c r="Z81" s="90">
        <v>6.3</v>
      </c>
      <c r="AA81" s="90">
        <v>6.35</v>
      </c>
      <c r="AB81" s="90">
        <v>6.39</v>
      </c>
      <c r="AC81" s="90">
        <v>6.44</v>
      </c>
      <c r="AD81" s="90">
        <v>6.49</v>
      </c>
      <c r="AE81" s="90">
        <v>6.53</v>
      </c>
      <c r="AF81" s="90">
        <v>6.58</v>
      </c>
      <c r="AG81" s="90">
        <v>6.63</v>
      </c>
      <c r="AH81" s="90">
        <v>6.67</v>
      </c>
      <c r="AI81" s="90">
        <v>6.72</v>
      </c>
      <c r="AJ81" s="90">
        <v>6.77</v>
      </c>
      <c r="AK81" s="90">
        <v>6.81</v>
      </c>
      <c r="AL81" s="90">
        <v>6.86</v>
      </c>
      <c r="AM81" s="90">
        <v>6.91</v>
      </c>
      <c r="AN81" s="90">
        <v>6.95</v>
      </c>
      <c r="AO81" s="91">
        <v>7</v>
      </c>
      <c r="AP81" s="90">
        <v>7.0481153846153903</v>
      </c>
      <c r="AQ81" s="90">
        <v>7.0949868667917499</v>
      </c>
      <c r="AR81" s="90">
        <v>7.1418583489681096</v>
      </c>
      <c r="AS81" s="90">
        <v>7.1887298311444701</v>
      </c>
      <c r="AT81" s="90">
        <v>7.2356013133208297</v>
      </c>
      <c r="AU81" s="90">
        <v>7.2824727954971902</v>
      </c>
      <c r="AV81" s="90">
        <v>7.3293442776735498</v>
      </c>
      <c r="AW81" s="90">
        <v>7.3762157598499103</v>
      </c>
      <c r="AX81" s="90">
        <v>7.4230872420262699</v>
      </c>
      <c r="AY81" s="90">
        <v>7.4699587242026304</v>
      </c>
      <c r="AZ81" s="90">
        <v>7.51683020637899</v>
      </c>
      <c r="BA81" s="90">
        <v>7.5637016885553496</v>
      </c>
      <c r="BB81" s="90">
        <v>7.6105731707317101</v>
      </c>
      <c r="BC81" s="90">
        <v>7.6574446529080697</v>
      </c>
      <c r="BD81" s="90">
        <v>7.7043161350844303</v>
      </c>
      <c r="BE81" s="90">
        <v>7.7511876172607899</v>
      </c>
      <c r="BF81" s="90">
        <v>7.7980590994371504</v>
      </c>
      <c r="BG81" s="90">
        <v>7.84493058161351</v>
      </c>
      <c r="BH81" s="90">
        <v>7.8918020637898696</v>
      </c>
      <c r="BI81" s="91">
        <v>7.9386735459662301</v>
      </c>
      <c r="BJ81" s="90">
        <v>7.9855450281425897</v>
      </c>
      <c r="BK81" s="99">
        <v>8.0324165103189493</v>
      </c>
      <c r="BL81" s="99">
        <v>8.0792879924953098</v>
      </c>
      <c r="BM81" s="99">
        <v>8.1261594746716597</v>
      </c>
      <c r="BN81" s="99">
        <v>8.1730309568480308</v>
      </c>
      <c r="BO81" s="99">
        <v>8.2199024390243896</v>
      </c>
      <c r="BP81" s="99">
        <v>8.2667739212007394</v>
      </c>
      <c r="BQ81" s="99">
        <v>8.3136454033771106</v>
      </c>
      <c r="BR81" s="99">
        <v>8.3605168855534693</v>
      </c>
      <c r="BS81" s="99">
        <v>8.4073883677298404</v>
      </c>
      <c r="BT81" s="99">
        <v>8.4542598499061992</v>
      </c>
      <c r="BU81" s="99">
        <v>8.5011313320825597</v>
      </c>
      <c r="BV81" s="99">
        <v>8.5480028142589095</v>
      </c>
      <c r="BW81" s="99">
        <v>8.5948742964352807</v>
      </c>
      <c r="BX81" s="99">
        <v>8.6417457786116394</v>
      </c>
      <c r="BY81" s="99">
        <v>8.6886172607879999</v>
      </c>
      <c r="BZ81" s="99">
        <v>8.7354887429643604</v>
      </c>
      <c r="CA81" s="99">
        <v>8.7823602251407191</v>
      </c>
      <c r="CB81" s="99">
        <v>8.8292317073170796</v>
      </c>
      <c r="CC81" s="99">
        <v>8.8761031894934295</v>
      </c>
      <c r="CD81" s="99">
        <v>8.9229746716698006</v>
      </c>
      <c r="CE81" s="99">
        <v>8.9698461538461594</v>
      </c>
      <c r="CF81" s="99">
        <v>9.0167176360225199</v>
      </c>
      <c r="CG81" s="99">
        <v>9.0635891181988804</v>
      </c>
      <c r="CH81" s="99">
        <v>9.1104606003752409</v>
      </c>
      <c r="CI81" s="99">
        <v>9.1573320825515996</v>
      </c>
      <c r="CJ81" s="99">
        <v>9.2042035647279494</v>
      </c>
      <c r="CK81" s="99">
        <v>9.2510750469043206</v>
      </c>
      <c r="CL81" s="99">
        <v>9.2979465290806793</v>
      </c>
      <c r="CM81" s="99">
        <v>9.3448180112570398</v>
      </c>
      <c r="CN81" s="99">
        <v>9.3916894934334003</v>
      </c>
      <c r="CO81" s="99">
        <v>9.4385609756097608</v>
      </c>
      <c r="CP81" s="99">
        <v>9.4854324577861195</v>
      </c>
      <c r="CQ81" s="99">
        <v>9.5323039399624694</v>
      </c>
      <c r="CR81" s="99">
        <v>9.5791754221388405</v>
      </c>
      <c r="CS81" s="99">
        <v>9.6260469043151993</v>
      </c>
      <c r="CT81" s="99">
        <v>9.6729183864915598</v>
      </c>
      <c r="CU81" s="99">
        <v>9.7197898686679203</v>
      </c>
      <c r="CV81" s="99">
        <v>9.7666613508442808</v>
      </c>
      <c r="CW81" s="99">
        <v>9.8135328330206395</v>
      </c>
      <c r="CX81" s="99">
        <v>9.8604043151969893</v>
      </c>
      <c r="CY81" s="99">
        <v>9.9072757973733605</v>
      </c>
      <c r="CZ81" s="99">
        <v>9.9541472795497192</v>
      </c>
      <c r="DA81" s="99">
        <v>10.001018761726099</v>
      </c>
      <c r="DB81" s="99">
        <v>10.047890243902399</v>
      </c>
      <c r="DC81" s="99">
        <v>10.094761726078801</v>
      </c>
      <c r="DD81" s="99">
        <v>10.1416332082552</v>
      </c>
      <c r="DE81" s="99">
        <v>10.1885046904315</v>
      </c>
      <c r="DF81" s="99">
        <v>10.2353761726079</v>
      </c>
      <c r="DG81" s="99">
        <v>10.2822476547842</v>
      </c>
      <c r="DH81" s="99">
        <v>10.3291191369606</v>
      </c>
      <c r="DI81" s="99">
        <v>10.375990619136999</v>
      </c>
      <c r="DJ81" s="99">
        <v>10.422862101313299</v>
      </c>
      <c r="DK81" s="99">
        <v>10.469733583489701</v>
      </c>
      <c r="DL81" s="99">
        <v>10.516605065666001</v>
      </c>
      <c r="DM81" s="99">
        <v>10.5634765478424</v>
      </c>
      <c r="DN81" s="99">
        <v>10.6103480300188</v>
      </c>
      <c r="DO81" s="99">
        <v>10.6572195121951</v>
      </c>
      <c r="DP81" s="99">
        <v>10.7040909943715</v>
      </c>
      <c r="DQ81" s="99">
        <v>10.7509624765478</v>
      </c>
      <c r="DR81" s="99">
        <v>10.797833958724199</v>
      </c>
      <c r="DS81" s="99">
        <v>10.844705440900601</v>
      </c>
      <c r="DT81" s="99">
        <v>10.891576923076901</v>
      </c>
      <c r="DU81" s="99">
        <v>10.9384484052533</v>
      </c>
      <c r="DV81" s="99">
        <v>10.985319887429601</v>
      </c>
      <c r="DW81" s="99">
        <v>11.032191369606</v>
      </c>
      <c r="DX81" s="99">
        <v>11.0790628517824</v>
      </c>
      <c r="DY81" s="99">
        <v>11.1259343339587</v>
      </c>
      <c r="DZ81" s="99">
        <v>11.172805816135099</v>
      </c>
      <c r="EA81" s="99">
        <v>11.219677298311399</v>
      </c>
      <c r="EB81" s="99">
        <v>11.266548780487801</v>
      </c>
      <c r="EC81" s="99">
        <v>11.3134202626642</v>
      </c>
      <c r="ED81" s="99">
        <v>11.360291744840501</v>
      </c>
      <c r="EE81" s="99">
        <v>11.4071632270169</v>
      </c>
      <c r="EF81" s="99">
        <v>11.4540347091932</v>
      </c>
      <c r="EG81" s="99">
        <v>11.5009061913696</v>
      </c>
      <c r="EH81" s="99">
        <v>11.547777673545999</v>
      </c>
      <c r="EI81" s="99">
        <v>11.594649155722299</v>
      </c>
      <c r="EJ81" s="99">
        <v>11.641520637898701</v>
      </c>
      <c r="EK81" s="99">
        <v>11.688392120074999</v>
      </c>
      <c r="EL81" s="99">
        <v>11.735263602251401</v>
      </c>
      <c r="EM81" s="99">
        <v>11.7821350844278</v>
      </c>
      <c r="EN81" s="99">
        <v>11.8290065666041</v>
      </c>
      <c r="EO81" s="99">
        <v>11.8758780487805</v>
      </c>
      <c r="EP81" s="99">
        <v>11.9227495309568</v>
      </c>
      <c r="EQ81" s="99">
        <v>11.969621013133199</v>
      </c>
      <c r="ER81" s="99">
        <v>12.016492495309601</v>
      </c>
      <c r="ES81" s="99">
        <v>12.063363977485899</v>
      </c>
      <c r="ET81" s="99">
        <v>12.110235459662301</v>
      </c>
      <c r="EU81" s="99">
        <v>12.157106941838601</v>
      </c>
      <c r="EV81" s="99">
        <v>12.203978424015</v>
      </c>
      <c r="EW81" s="99">
        <v>12.2508499061914</v>
      </c>
      <c r="EX81" s="99">
        <v>12.2977213883677</v>
      </c>
      <c r="EY81" s="99">
        <v>12.344592870544099</v>
      </c>
      <c r="EZ81" s="99">
        <v>12.3914643527204</v>
      </c>
      <c r="FA81" s="99">
        <v>12.438335834896799</v>
      </c>
      <c r="FB81" s="99">
        <v>12.485207317073201</v>
      </c>
      <c r="FC81" s="99">
        <v>12.532078799249501</v>
      </c>
      <c r="FD81" s="99">
        <v>12.5789502814259</v>
      </c>
      <c r="FE81" s="99">
        <v>12.6258217636022</v>
      </c>
      <c r="FF81" s="99">
        <v>12.6726932457786</v>
      </c>
      <c r="FG81" s="99">
        <v>12.719564727954999</v>
      </c>
      <c r="FH81" s="99">
        <v>12.7664362101313</v>
      </c>
      <c r="FI81" s="99">
        <v>12.813307692307699</v>
      </c>
      <c r="FJ81" s="99">
        <v>12.860179174484101</v>
      </c>
      <c r="FK81" s="99">
        <v>12.907050656660401</v>
      </c>
      <c r="FL81" s="99">
        <v>12.9539221388368</v>
      </c>
      <c r="FM81" s="99">
        <v>13.0007936210131</v>
      </c>
      <c r="FN81" s="99">
        <v>13.0476651031895</v>
      </c>
      <c r="FO81" s="99">
        <v>13.094536585365899</v>
      </c>
      <c r="FP81" s="99">
        <v>13.1414080675422</v>
      </c>
      <c r="FQ81" s="99">
        <v>13.188279549718599</v>
      </c>
      <c r="FR81" s="99">
        <v>13.235151031894899</v>
      </c>
      <c r="FS81" s="99">
        <v>13.282022514071301</v>
      </c>
      <c r="FT81" s="99">
        <v>13.3288939962477</v>
      </c>
      <c r="FU81" s="99">
        <v>13.375765478424</v>
      </c>
      <c r="FV81" s="99">
        <v>13.4226369606004</v>
      </c>
      <c r="FW81" s="99">
        <v>13.4695084427767</v>
      </c>
      <c r="FX81" s="99">
        <v>13.5163799249531</v>
      </c>
      <c r="FY81" s="99">
        <v>13.563251407129499</v>
      </c>
      <c r="FZ81" s="99">
        <v>13.610122889305799</v>
      </c>
      <c r="GA81" s="99">
        <v>13.656994371482201</v>
      </c>
      <c r="GB81" s="99">
        <v>13.703865853658501</v>
      </c>
      <c r="GC81" s="99">
        <v>13.7507373358349</v>
      </c>
      <c r="GD81" s="99">
        <v>13.7976088180113</v>
      </c>
      <c r="GE81" s="99">
        <v>13.8444803001876</v>
      </c>
      <c r="GF81" s="99">
        <v>13.891351782364</v>
      </c>
      <c r="GG81" s="99">
        <v>13.9382232645403</v>
      </c>
      <c r="GH81" s="99">
        <v>13.985094746716699</v>
      </c>
      <c r="GI81" s="99">
        <v>14.031966228893101</v>
      </c>
      <c r="GJ81" s="99">
        <v>14.078837711069401</v>
      </c>
      <c r="GK81" s="99">
        <v>14.1257091932458</v>
      </c>
      <c r="GL81" s="99">
        <v>14.1725806754221</v>
      </c>
      <c r="GM81" s="99">
        <v>14.2194521575985</v>
      </c>
      <c r="GN81" s="99">
        <v>14.2663236397749</v>
      </c>
      <c r="GO81" s="99">
        <v>14.3131951219512</v>
      </c>
      <c r="GP81" s="99">
        <v>14.360066604127599</v>
      </c>
      <c r="GQ81" s="99">
        <v>14.406938086303899</v>
      </c>
      <c r="GR81" s="99">
        <v>14.453809568480301</v>
      </c>
      <c r="GS81" s="99">
        <v>14.5006810506567</v>
      </c>
      <c r="GT81" s="99">
        <v>14.547552532833</v>
      </c>
      <c r="GU81" s="99">
        <v>14.5944240150094</v>
      </c>
      <c r="GV81" s="99">
        <v>14.6412954971857</v>
      </c>
      <c r="GW81" s="99">
        <v>14.6881669793621</v>
      </c>
      <c r="GX81" s="99">
        <v>14.735038461538499</v>
      </c>
      <c r="GY81" s="99">
        <v>14.781909943714799</v>
      </c>
      <c r="GZ81" s="99">
        <v>14.828781425891201</v>
      </c>
      <c r="HA81" s="99">
        <v>14.875652908067501</v>
      </c>
      <c r="HB81" s="99">
        <v>14.9225243902439</v>
      </c>
      <c r="HC81" s="99">
        <v>14.9693958724203</v>
      </c>
      <c r="HD81" s="99">
        <v>15.0162673545966</v>
      </c>
      <c r="HE81" s="99">
        <v>15.063138836773</v>
      </c>
      <c r="HF81" s="99">
        <v>15.1100103189493</v>
      </c>
      <c r="HG81" s="99">
        <v>15.156881801125699</v>
      </c>
      <c r="HH81" s="99">
        <v>15.203753283302101</v>
      </c>
      <c r="HI81" s="99">
        <v>15.250624765478401</v>
      </c>
      <c r="HJ81" s="99">
        <v>15.2974962476548</v>
      </c>
      <c r="HK81" s="99">
        <v>15.3443677298312</v>
      </c>
      <c r="HL81" s="99">
        <v>15.3912392120075</v>
      </c>
      <c r="HM81" s="99">
        <v>15.4381106941839</v>
      </c>
      <c r="HN81" s="99">
        <v>15.4849821763602</v>
      </c>
      <c r="HO81" s="99">
        <v>15.531853658536599</v>
      </c>
      <c r="HP81" s="99">
        <v>15.578725140713001</v>
      </c>
      <c r="HQ81" s="99">
        <v>15.625596622889301</v>
      </c>
      <c r="HR81" s="99">
        <v>15.6724681050657</v>
      </c>
      <c r="HS81" s="99">
        <v>15.719339587242001</v>
      </c>
      <c r="HT81" s="99">
        <v>15.7662110694184</v>
      </c>
      <c r="HU81" s="99">
        <v>15.8130825515948</v>
      </c>
      <c r="HV81" s="99">
        <v>15.8599540337711</v>
      </c>
      <c r="HW81" s="99">
        <v>15.906825515947499</v>
      </c>
      <c r="HX81" s="99">
        <v>15.953696998123799</v>
      </c>
      <c r="HY81" s="99">
        <v>16.000568480300199</v>
      </c>
      <c r="HZ81" s="99">
        <v>16.047439962476599</v>
      </c>
      <c r="IA81" s="99">
        <v>16.094311444652899</v>
      </c>
      <c r="IB81" s="99">
        <v>16.141182926829298</v>
      </c>
      <c r="IC81" s="99">
        <v>16.188054409005701</v>
      </c>
      <c r="ID81" s="99">
        <v>16.234925891182002</v>
      </c>
      <c r="IE81" s="99">
        <v>16.281797373358401</v>
      </c>
      <c r="IF81" s="99">
        <v>16.328668855534701</v>
      </c>
      <c r="IG81" s="99">
        <v>16.375540337711101</v>
      </c>
      <c r="IH81" s="99">
        <v>16.4224118198875</v>
      </c>
      <c r="II81" s="99">
        <v>16.469283302063801</v>
      </c>
      <c r="IJ81" s="99">
        <v>16.5161547842402</v>
      </c>
      <c r="IK81" s="99">
        <v>16.5630262664165</v>
      </c>
      <c r="IL81" s="99">
        <v>16.6098977485929</v>
      </c>
      <c r="IM81" s="99">
        <v>16.656769230769299</v>
      </c>
      <c r="IN81" s="99">
        <v>16.703640712945599</v>
      </c>
      <c r="IO81" s="99">
        <v>16.750512195121999</v>
      </c>
      <c r="IP81" s="99">
        <v>16.797383677298299</v>
      </c>
      <c r="IQ81" s="99">
        <v>16.844255159474699</v>
      </c>
      <c r="IR81" s="99">
        <v>16.891126641651098</v>
      </c>
      <c r="IS81" s="99">
        <v>16.937998123827398</v>
      </c>
      <c r="IT81" s="99">
        <v>16.984869606003802</v>
      </c>
      <c r="IU81" s="99">
        <v>17.031741088180102</v>
      </c>
      <c r="IV81" s="99">
        <v>17.078612570356501</v>
      </c>
      <c r="IW81" s="99">
        <v>17.125484052532901</v>
      </c>
      <c r="IX81" s="99">
        <v>17.172355534709201</v>
      </c>
      <c r="IY81" s="99">
        <v>17.219227016885601</v>
      </c>
      <c r="IZ81" s="99">
        <v>17.266098499061901</v>
      </c>
      <c r="JA81" s="99">
        <v>17.3129699812383</v>
      </c>
      <c r="JB81" s="99">
        <v>17.3598414634147</v>
      </c>
      <c r="JC81" s="99">
        <v>17.406712945591</v>
      </c>
      <c r="JD81" s="99">
        <v>17.453584427767399</v>
      </c>
      <c r="JE81" s="99">
        <v>17.5004559099437</v>
      </c>
      <c r="JF81" s="99">
        <v>17.547327392120099</v>
      </c>
      <c r="JG81" s="99">
        <v>17.594198874296499</v>
      </c>
      <c r="JH81" s="99">
        <v>17.641070356472799</v>
      </c>
      <c r="JI81" s="99">
        <v>17.687941838649198</v>
      </c>
      <c r="JJ81" s="99">
        <v>17.734813320825499</v>
      </c>
      <c r="JK81" s="99">
        <v>17.781684803001902</v>
      </c>
      <c r="JL81" s="99">
        <v>17.828556285178301</v>
      </c>
      <c r="JM81" s="99">
        <v>17.875427767354601</v>
      </c>
      <c r="JN81" s="99">
        <v>17.922299249531001</v>
      </c>
      <c r="JO81" s="99">
        <v>17.969170731707301</v>
      </c>
      <c r="JP81" s="99">
        <v>18.016042213883701</v>
      </c>
      <c r="JQ81" s="99">
        <v>18.0629136960601</v>
      </c>
      <c r="JR81" s="99">
        <v>18.1097851782364</v>
      </c>
      <c r="JS81" s="99">
        <v>18.1566566604128</v>
      </c>
      <c r="JT81" s="99">
        <v>18.2035281425891</v>
      </c>
      <c r="JU81" s="99">
        <v>18.2503996247655</v>
      </c>
      <c r="JV81" s="99">
        <v>18.297271106941899</v>
      </c>
      <c r="JW81" s="99">
        <v>18.344142589118199</v>
      </c>
      <c r="JX81" s="99">
        <v>18.391014071294599</v>
      </c>
      <c r="JY81" s="99">
        <v>18.437885553470899</v>
      </c>
      <c r="JZ81" s="99">
        <v>18.484757035647299</v>
      </c>
      <c r="KA81" s="99">
        <v>18.531628517823702</v>
      </c>
      <c r="KB81" s="99">
        <v>18.578499999999998</v>
      </c>
      <c r="KC81" s="99">
        <v>18.625371482176401</v>
      </c>
      <c r="KD81" s="99">
        <v>18.672242964352701</v>
      </c>
      <c r="KE81" s="99">
        <v>18.719114446529101</v>
      </c>
      <c r="KF81" s="99">
        <v>18.765985928705501</v>
      </c>
      <c r="KG81" s="99">
        <v>18.812857410881801</v>
      </c>
      <c r="KH81" s="99">
        <v>18.8597288930582</v>
      </c>
      <c r="KI81" s="99">
        <v>18.9066003752345</v>
      </c>
      <c r="KJ81" s="99">
        <v>18.9534718574109</v>
      </c>
      <c r="KK81" s="99">
        <v>19.0003433395873</v>
      </c>
      <c r="KL81" s="99">
        <v>19.0472148217636</v>
      </c>
      <c r="KM81" s="99">
        <v>19.094086303939999</v>
      </c>
      <c r="KN81" s="99">
        <v>19.140957786116299</v>
      </c>
      <c r="KO81" s="99">
        <v>19.187829268292699</v>
      </c>
      <c r="KP81" s="99">
        <v>19.234700750469099</v>
      </c>
      <c r="KQ81" s="99">
        <v>19.281572232645399</v>
      </c>
      <c r="KR81" s="99">
        <v>19.328443714821798</v>
      </c>
      <c r="KS81" s="99">
        <v>19.375315196998098</v>
      </c>
      <c r="KT81" s="99">
        <v>19.422186679174501</v>
      </c>
      <c r="KU81" s="99">
        <v>19.469058161350901</v>
      </c>
      <c r="KV81" s="99">
        <v>19.515929643527201</v>
      </c>
      <c r="KW81" s="99">
        <v>19.562801125703601</v>
      </c>
      <c r="KX81" s="99">
        <v>19.609672607879901</v>
      </c>
      <c r="KY81" s="99">
        <v>19.6565440900563</v>
      </c>
      <c r="KZ81" s="99">
        <v>19.7034155722327</v>
      </c>
      <c r="LA81" s="99">
        <v>19.750287054409</v>
      </c>
      <c r="LB81" s="99">
        <v>19.7971585365854</v>
      </c>
      <c r="LC81" s="99">
        <v>19.8440300187617</v>
      </c>
      <c r="LD81" s="99">
        <v>19.890901500938099</v>
      </c>
      <c r="LE81" s="99">
        <v>19.937772983114499</v>
      </c>
      <c r="LF81" s="99">
        <v>19.984644465290799</v>
      </c>
      <c r="LG81" s="99">
        <v>20.031515947467199</v>
      </c>
      <c r="LH81" s="99">
        <v>20.078387429643499</v>
      </c>
      <c r="LI81" s="99">
        <v>20.125258911819898</v>
      </c>
      <c r="LJ81" s="99">
        <v>20.172130393996301</v>
      </c>
      <c r="LK81" s="99">
        <v>20.219001876172602</v>
      </c>
      <c r="LL81" s="99">
        <v>20.265873358349001</v>
      </c>
      <c r="LM81" s="99">
        <v>20.312744840525301</v>
      </c>
      <c r="LN81" s="99">
        <v>20.359616322701701</v>
      </c>
      <c r="LO81" s="99">
        <v>20.4064878048781</v>
      </c>
      <c r="LP81" s="99">
        <v>20.453359287054401</v>
      </c>
      <c r="LQ81" s="99">
        <v>20.5002307692308</v>
      </c>
      <c r="LR81" s="99">
        <v>20.5471022514072</v>
      </c>
      <c r="LS81" s="99">
        <v>20.5939737335835</v>
      </c>
      <c r="LT81" s="99">
        <v>20.640845215759899</v>
      </c>
      <c r="LU81" s="99">
        <v>20.687716697936199</v>
      </c>
      <c r="LV81" s="99">
        <v>20.734588180112599</v>
      </c>
      <c r="LW81" s="99">
        <v>20.781459662288999</v>
      </c>
      <c r="LX81" s="99">
        <v>20.828331144465299</v>
      </c>
      <c r="LY81" s="99">
        <v>20.875202626641698</v>
      </c>
      <c r="LZ81" s="99">
        <v>20.922074108817998</v>
      </c>
      <c r="MA81" s="99">
        <v>20.968945590994402</v>
      </c>
      <c r="MB81" s="99">
        <v>21.015817073170801</v>
      </c>
      <c r="MC81" s="99">
        <v>21.062688555347101</v>
      </c>
      <c r="MD81" s="99">
        <v>21.109560037523501</v>
      </c>
      <c r="ME81" s="99">
        <v>21.156431519699801</v>
      </c>
      <c r="MF81" s="99">
        <v>21.203303001876201</v>
      </c>
      <c r="MG81" s="99">
        <v>21.2501744840526</v>
      </c>
      <c r="MH81" s="99">
        <v>21.2970459662289</v>
      </c>
      <c r="MI81" s="99">
        <v>21.3439174484053</v>
      </c>
      <c r="MJ81" s="99">
        <v>21.3907889305816</v>
      </c>
      <c r="MK81" s="99">
        <v>21.437660412757999</v>
      </c>
      <c r="ML81" s="99">
        <v>21.484531894934399</v>
      </c>
      <c r="MM81" s="99">
        <v>21.531403377110699</v>
      </c>
      <c r="MN81" s="99">
        <v>21.578274859287099</v>
      </c>
      <c r="MO81" s="99">
        <v>21.625146341463399</v>
      </c>
      <c r="MP81" s="99">
        <v>21.672017823639798</v>
      </c>
      <c r="MQ81" s="99">
        <v>21.718889305816202</v>
      </c>
      <c r="MR81" s="99">
        <v>21.765760787992502</v>
      </c>
      <c r="MS81" s="99">
        <v>21.812632270168901</v>
      </c>
      <c r="MT81" s="99">
        <v>21.859503752345201</v>
      </c>
      <c r="MU81" s="99">
        <v>21.906375234521601</v>
      </c>
      <c r="MV81" s="99">
        <v>21.953246716698001</v>
      </c>
      <c r="MW81" s="99">
        <v>22.000118198874301</v>
      </c>
      <c r="MX81" s="99">
        <v>22.0469896810507</v>
      </c>
      <c r="MY81" s="99">
        <v>22.093861163227</v>
      </c>
      <c r="MZ81" s="99">
        <v>22.1407326454034</v>
      </c>
      <c r="NA81" s="99">
        <v>22.187604127579799</v>
      </c>
      <c r="NB81" s="99">
        <v>22.2344756097561</v>
      </c>
      <c r="NC81" s="99">
        <v>22.281347091932499</v>
      </c>
      <c r="ND81" s="99">
        <v>22.328218574108799</v>
      </c>
      <c r="NE81" s="99">
        <v>22.375090056285199</v>
      </c>
      <c r="NF81" s="99">
        <v>22.421961538461598</v>
      </c>
      <c r="NG81" s="99">
        <v>22.468833020637899</v>
      </c>
      <c r="NH81" s="99">
        <v>22.515704502814302</v>
      </c>
      <c r="NI81" s="99">
        <v>22.562575984990598</v>
      </c>
      <c r="NJ81" s="99">
        <v>22.609447467167001</v>
      </c>
      <c r="NK81" s="99">
        <v>22.656318949343401</v>
      </c>
      <c r="NL81" s="99">
        <v>22.703190431519701</v>
      </c>
      <c r="NM81" s="99">
        <v>22.750061913696101</v>
      </c>
      <c r="NN81" s="99">
        <v>22.796933395872401</v>
      </c>
      <c r="NO81" s="99">
        <v>22.8438048780488</v>
      </c>
      <c r="NP81" s="99">
        <v>22.8906763602252</v>
      </c>
      <c r="NQ81" s="99">
        <v>22.9375478424015</v>
      </c>
      <c r="NR81" s="99">
        <v>22.9844193245779</v>
      </c>
      <c r="NS81" s="99">
        <v>23.0312908067542</v>
      </c>
      <c r="NT81" s="99">
        <v>23.078162288930599</v>
      </c>
      <c r="NU81" s="99">
        <v>23.125033771106999</v>
      </c>
      <c r="NV81" s="99">
        <v>23.171905253283299</v>
      </c>
      <c r="NW81" s="99">
        <v>23.218776735459699</v>
      </c>
      <c r="NX81" s="99">
        <v>23.265648217635999</v>
      </c>
      <c r="NY81" s="99">
        <v>23.312519699812398</v>
      </c>
      <c r="NZ81" s="99">
        <v>23.359391181988801</v>
      </c>
      <c r="OA81" s="99">
        <v>23.406262664165101</v>
      </c>
      <c r="OB81" s="99">
        <v>23.453134146341501</v>
      </c>
      <c r="OC81" s="99">
        <v>23.500005628517801</v>
      </c>
      <c r="OD81" s="99">
        <v>23.546877110694201</v>
      </c>
      <c r="OE81" s="99">
        <v>23.5937485928706</v>
      </c>
      <c r="OF81" s="99">
        <v>23.6406200750469</v>
      </c>
      <c r="OG81" s="99">
        <v>23.6874915572233</v>
      </c>
      <c r="OH81" s="99">
        <v>23.7343630393996</v>
      </c>
      <c r="OI81" s="99">
        <v>23.781234521576</v>
      </c>
      <c r="OJ81" s="99">
        <v>23.828106003752399</v>
      </c>
      <c r="OK81" s="99">
        <v>23.874977485928699</v>
      </c>
      <c r="OL81" s="99">
        <v>23.921848968105099</v>
      </c>
      <c r="OM81" s="99">
        <v>23.968720450281399</v>
      </c>
      <c r="ON81" s="99">
        <v>24.015591932457799</v>
      </c>
      <c r="OO81" s="99">
        <v>24.062463414634198</v>
      </c>
      <c r="OP81" s="99">
        <v>24.109334896810498</v>
      </c>
      <c r="OQ81" s="99">
        <v>24.156206378986901</v>
      </c>
      <c r="OR81" s="99">
        <v>24.203077861163202</v>
      </c>
      <c r="OS81" s="99">
        <v>24.249949343339601</v>
      </c>
      <c r="OT81" s="99">
        <v>24.296820825516001</v>
      </c>
      <c r="OU81" s="99">
        <v>24.343692307692301</v>
      </c>
      <c r="OV81" s="99">
        <v>24.3905637898687</v>
      </c>
      <c r="OW81" s="99">
        <v>24.437435272045001</v>
      </c>
      <c r="OX81" s="99">
        <v>24.4843067542214</v>
      </c>
      <c r="OY81" s="99">
        <v>24.5311782363978</v>
      </c>
      <c r="OZ81" s="99">
        <v>24.5780497185741</v>
      </c>
      <c r="PA81" s="99">
        <v>24.624921200750499</v>
      </c>
      <c r="PB81" s="99">
        <v>24.671792682926899</v>
      </c>
      <c r="PC81" s="99">
        <v>24.718664165103199</v>
      </c>
      <c r="PD81" s="99">
        <v>24.765535647279599</v>
      </c>
      <c r="PE81" s="99">
        <v>24.812407129455899</v>
      </c>
      <c r="PF81" s="99">
        <v>24.859278611632298</v>
      </c>
      <c r="PG81" s="99">
        <v>24.906150093808701</v>
      </c>
      <c r="PH81" s="99">
        <v>24.953021575985002</v>
      </c>
      <c r="PI81" s="99">
        <v>24.999893058161401</v>
      </c>
      <c r="PJ81" s="99">
        <v>25.046764540337701</v>
      </c>
      <c r="PK81" s="99">
        <v>25.093636022514101</v>
      </c>
      <c r="PL81" s="99">
        <v>25.1405075046905</v>
      </c>
      <c r="PM81" s="99">
        <v>25.187378986866801</v>
      </c>
      <c r="PN81" s="99">
        <v>25.2342504690432</v>
      </c>
      <c r="PO81" s="99">
        <v>25.2811219512195</v>
      </c>
      <c r="PP81" s="99">
        <v>25.3279934333959</v>
      </c>
      <c r="PQ81" s="99">
        <v>25.374864915572299</v>
      </c>
      <c r="PR81" s="99">
        <v>25.4217363977486</v>
      </c>
      <c r="PS81" s="99">
        <v>25.468607879924999</v>
      </c>
      <c r="PT81" s="99">
        <v>25.515479362101299</v>
      </c>
      <c r="PU81" s="99">
        <v>25.562350844277699</v>
      </c>
      <c r="PV81" s="99">
        <v>25.609222326454098</v>
      </c>
      <c r="PW81" s="99">
        <v>25.656093808630398</v>
      </c>
      <c r="PX81" s="99">
        <v>25.702965290806802</v>
      </c>
      <c r="PY81" s="99">
        <v>25.749836772983102</v>
      </c>
      <c r="PZ81" s="99">
        <v>25.796708255159501</v>
      </c>
      <c r="QA81" s="99">
        <v>25.843579737335901</v>
      </c>
      <c r="QB81" s="99">
        <v>25.890451219512201</v>
      </c>
      <c r="QC81" s="99">
        <v>25.937322701688601</v>
      </c>
      <c r="QD81" s="99">
        <v>25.984194183864901</v>
      </c>
      <c r="QE81" s="99">
        <v>26.0310656660413</v>
      </c>
      <c r="QF81" s="99">
        <v>26.0779371482177</v>
      </c>
      <c r="QG81" s="99">
        <v>26.124808630394</v>
      </c>
      <c r="QH81" s="99">
        <v>26.1716801125704</v>
      </c>
      <c r="QI81" s="99">
        <v>26.2185515947467</v>
      </c>
      <c r="QJ81" s="99">
        <v>26.265423076923099</v>
      </c>
      <c r="QK81" s="99">
        <v>26.312294559099499</v>
      </c>
      <c r="QL81" s="99">
        <v>26.359166041275799</v>
      </c>
      <c r="QM81" s="99">
        <v>26.406037523452198</v>
      </c>
      <c r="QN81" s="99">
        <v>26.452909005628499</v>
      </c>
      <c r="QO81" s="99">
        <v>26.499780487804902</v>
      </c>
      <c r="QP81" s="99">
        <v>26.546651969981301</v>
      </c>
      <c r="QQ81" s="99">
        <v>26.593523452157601</v>
      </c>
      <c r="QR81" s="99">
        <v>26.640394934334001</v>
      </c>
      <c r="QS81" s="99">
        <v>26.687266416510301</v>
      </c>
      <c r="QT81" s="99">
        <v>26.734137898686701</v>
      </c>
      <c r="QU81" s="99">
        <v>26.7810093808631</v>
      </c>
      <c r="QV81" s="99">
        <v>26.8278808630394</v>
      </c>
      <c r="QW81" s="99">
        <v>26.8747523452158</v>
      </c>
      <c r="QX81" s="99">
        <v>26.9216238273921</v>
      </c>
      <c r="QY81" s="99">
        <v>26.9684953095685</v>
      </c>
      <c r="QZ81" s="99">
        <v>27.015366791744899</v>
      </c>
      <c r="RA81" s="99">
        <v>27.062238273921199</v>
      </c>
      <c r="RB81" s="99">
        <v>27.109109756097599</v>
      </c>
      <c r="RC81" s="99">
        <v>27.155981238273899</v>
      </c>
      <c r="RD81" s="99">
        <v>27.202852720450299</v>
      </c>
      <c r="RE81" s="99">
        <v>27.249724202626702</v>
      </c>
      <c r="RF81" s="99">
        <v>27.296595684802998</v>
      </c>
      <c r="RG81" s="99">
        <v>27.343467166979401</v>
      </c>
      <c r="RH81" s="99">
        <v>27.390338649155701</v>
      </c>
      <c r="RI81" s="99">
        <v>27.437210131332101</v>
      </c>
      <c r="RJ81" s="99">
        <v>27.484081613508501</v>
      </c>
      <c r="RK81" s="99">
        <v>27.530953095684801</v>
      </c>
      <c r="RL81" s="99">
        <v>27.5778245778612</v>
      </c>
      <c r="RM81" s="99">
        <v>27.6246960600375</v>
      </c>
      <c r="RN81" s="99">
        <v>27.6715675422139</v>
      </c>
      <c r="RO81" s="99">
        <v>27.7184390243903</v>
      </c>
      <c r="RP81" s="99">
        <v>27.7653105065666</v>
      </c>
      <c r="RQ81" s="99">
        <v>27.812181988742999</v>
      </c>
      <c r="RR81" s="99">
        <v>27.859053470919299</v>
      </c>
      <c r="RS81" s="99">
        <v>27.905924953095699</v>
      </c>
      <c r="RT81" s="99">
        <v>27.952796435272099</v>
      </c>
      <c r="RU81" s="99">
        <v>27.999667917448399</v>
      </c>
      <c r="RV81" s="99">
        <v>28.046539399624798</v>
      </c>
      <c r="RW81" s="99">
        <v>28.093410881801098</v>
      </c>
      <c r="RX81" s="99">
        <v>28.140282363977501</v>
      </c>
      <c r="RY81" s="99">
        <v>28.187153846153901</v>
      </c>
      <c r="RZ81" s="99">
        <v>28.234025328330201</v>
      </c>
      <c r="SA81" s="99">
        <v>28.280896810506601</v>
      </c>
      <c r="SB81" s="99">
        <v>28.327768292682901</v>
      </c>
      <c r="SC81" s="99">
        <v>28.3746397748593</v>
      </c>
      <c r="SD81" s="99">
        <v>28.4215112570357</v>
      </c>
      <c r="SE81" s="99">
        <v>28.468382739212</v>
      </c>
      <c r="SF81" s="99">
        <v>28.5152542213884</v>
      </c>
      <c r="SG81" s="99">
        <v>28.5621257035647</v>
      </c>
      <c r="SH81" s="99">
        <v>28.608997185741099</v>
      </c>
      <c r="SI81" s="99">
        <v>28.655868667917499</v>
      </c>
      <c r="SJ81" s="99">
        <v>28.702740150093799</v>
      </c>
      <c r="SK81" s="99">
        <v>28.749611632270199</v>
      </c>
      <c r="SL81" s="99">
        <v>28.796483114446598</v>
      </c>
      <c r="SM81" s="99">
        <v>28.843354596622898</v>
      </c>
      <c r="SN81" s="99">
        <v>28.890226078799301</v>
      </c>
      <c r="SO81" s="99">
        <v>28.937097560975602</v>
      </c>
      <c r="SP81" s="99">
        <v>28.983969043152001</v>
      </c>
      <c r="SQ81" s="99">
        <v>29.030840525328301</v>
      </c>
      <c r="SR81" s="99">
        <v>29.077712007504701</v>
      </c>
      <c r="SS81" s="99">
        <v>29.1245834896811</v>
      </c>
      <c r="ST81" s="99">
        <v>29.171454971857401</v>
      </c>
      <c r="SU81" s="99">
        <v>29.2183264540338</v>
      </c>
      <c r="SV81" s="99">
        <v>29.2651979362102</v>
      </c>
      <c r="SW81" s="99">
        <v>29.3120694183865</v>
      </c>
      <c r="SX81" s="99">
        <v>29.358940900562899</v>
      </c>
      <c r="SY81" s="99">
        <v>29.4058123827392</v>
      </c>
      <c r="SZ81" s="99">
        <v>29.452683864915599</v>
      </c>
      <c r="TA81" s="99">
        <v>29.499555347091999</v>
      </c>
      <c r="TB81" s="99">
        <v>29.546426829268299</v>
      </c>
      <c r="TC81" s="99">
        <v>29.593298311444698</v>
      </c>
      <c r="TD81" s="99">
        <v>29.640169793620998</v>
      </c>
      <c r="TE81" s="99">
        <v>29.687041275797402</v>
      </c>
      <c r="TF81" s="99">
        <v>29.733912757973801</v>
      </c>
      <c r="TG81" s="99">
        <v>29.780784240150101</v>
      </c>
      <c r="TH81" s="99">
        <v>29.827655722326501</v>
      </c>
      <c r="TI81" s="99">
        <v>29.874527204502801</v>
      </c>
      <c r="TJ81" s="99">
        <v>29.921398686679201</v>
      </c>
      <c r="TK81" s="99">
        <v>29.9682701688556</v>
      </c>
      <c r="TL81" s="99">
        <v>30.0151416510319</v>
      </c>
      <c r="TM81" s="99">
        <v>30.0620131332083</v>
      </c>
      <c r="TN81" s="99">
        <v>30.1088846153846</v>
      </c>
      <c r="TO81" s="99">
        <v>30.155756097561</v>
      </c>
      <c r="TP81" s="99">
        <v>30.202627579737399</v>
      </c>
      <c r="TQ81" s="99">
        <v>30.249499061913699</v>
      </c>
      <c r="TR81" s="99">
        <v>30.296370544090099</v>
      </c>
      <c r="TS81" s="99">
        <v>30.343242026266399</v>
      </c>
      <c r="TT81" s="99">
        <v>30.390113508442798</v>
      </c>
      <c r="TU81" s="99">
        <v>30.436984990619202</v>
      </c>
      <c r="TV81" s="99">
        <v>30.483856472795502</v>
      </c>
      <c r="TW81" s="99">
        <v>30.530727954971901</v>
      </c>
      <c r="TX81" s="99">
        <v>30.577599437148201</v>
      </c>
      <c r="TY81" s="99">
        <v>30.624470919324601</v>
      </c>
      <c r="TZ81" s="99">
        <v>30.671342401501001</v>
      </c>
      <c r="UA81" s="99">
        <v>30.718213883677301</v>
      </c>
      <c r="UB81" s="99">
        <v>30.7650853658537</v>
      </c>
      <c r="UC81" s="99">
        <v>30.81195684803</v>
      </c>
      <c r="UD81" s="99">
        <v>30.8588283302064</v>
      </c>
      <c r="UE81" s="99">
        <v>30.9056998123828</v>
      </c>
      <c r="UF81" s="99">
        <v>30.9525712945591</v>
      </c>
      <c r="UG81" s="99">
        <v>30.999442776735499</v>
      </c>
      <c r="UH81" s="99">
        <v>31.046314258911799</v>
      </c>
      <c r="UI81" s="99">
        <v>31.093185741088199</v>
      </c>
      <c r="UJ81" s="99">
        <v>31.140057223264598</v>
      </c>
      <c r="UK81" s="99">
        <v>31.186928705440899</v>
      </c>
      <c r="UL81" s="99">
        <v>31.233800187617302</v>
      </c>
      <c r="UM81" s="99">
        <v>31.280671669793598</v>
      </c>
      <c r="UN81" s="99">
        <v>31.327543151970001</v>
      </c>
      <c r="UO81" s="99">
        <v>31.374414634146401</v>
      </c>
      <c r="UP81" s="99">
        <v>31.421286116322701</v>
      </c>
      <c r="UQ81" s="99">
        <v>31.468157598499101</v>
      </c>
      <c r="UR81" s="99">
        <v>31.515029080675401</v>
      </c>
      <c r="US81" s="99">
        <v>31.5619005628519</v>
      </c>
      <c r="UT81" s="99">
        <v>31.608772045028299</v>
      </c>
    </row>
    <row r="82" spans="1:566" x14ac:dyDescent="0.2">
      <c r="A82" s="89">
        <v>38</v>
      </c>
      <c r="B82" s="90">
        <v>5.13</v>
      </c>
      <c r="C82" s="90">
        <v>5.18</v>
      </c>
      <c r="D82" s="90">
        <v>5.22</v>
      </c>
      <c r="E82" s="90">
        <v>5.27</v>
      </c>
      <c r="F82" s="90">
        <v>5.32</v>
      </c>
      <c r="G82" s="90">
        <v>5.36</v>
      </c>
      <c r="H82" s="90">
        <v>5.41</v>
      </c>
      <c r="I82" s="90">
        <v>5.46</v>
      </c>
      <c r="J82" s="90">
        <v>5.5</v>
      </c>
      <c r="K82" s="90">
        <v>5.55</v>
      </c>
      <c r="L82" s="90">
        <v>5.6</v>
      </c>
      <c r="M82" s="90">
        <v>5.64</v>
      </c>
      <c r="N82" s="90">
        <v>5.69</v>
      </c>
      <c r="O82" s="90">
        <v>5.73</v>
      </c>
      <c r="P82" s="90">
        <v>5.78</v>
      </c>
      <c r="Q82" s="90">
        <v>5.83</v>
      </c>
      <c r="R82" s="90">
        <v>5.87</v>
      </c>
      <c r="S82" s="90">
        <v>5.92</v>
      </c>
      <c r="T82" s="90">
        <v>5.97</v>
      </c>
      <c r="U82" s="91">
        <v>6.01</v>
      </c>
      <c r="V82" s="90">
        <v>6.06</v>
      </c>
      <c r="W82" s="90">
        <v>6.11</v>
      </c>
      <c r="X82" s="90">
        <v>6.15</v>
      </c>
      <c r="Y82" s="90">
        <v>6.2</v>
      </c>
      <c r="Z82" s="90">
        <v>6.25</v>
      </c>
      <c r="AA82" s="90">
        <v>6.29</v>
      </c>
      <c r="AB82" s="90">
        <v>6.34</v>
      </c>
      <c r="AC82" s="90">
        <v>6.39</v>
      </c>
      <c r="AD82" s="90">
        <v>6.43</v>
      </c>
      <c r="AE82" s="90">
        <v>6.48</v>
      </c>
      <c r="AF82" s="90">
        <v>6.53</v>
      </c>
      <c r="AG82" s="90">
        <v>6.57</v>
      </c>
      <c r="AH82" s="90">
        <v>6.62</v>
      </c>
      <c r="AI82" s="90">
        <v>6.67</v>
      </c>
      <c r="AJ82" s="90">
        <v>6.71</v>
      </c>
      <c r="AK82" s="90">
        <v>6.76</v>
      </c>
      <c r="AL82" s="90">
        <v>6.81</v>
      </c>
      <c r="AM82" s="90">
        <v>6.85</v>
      </c>
      <c r="AN82" s="90">
        <v>6.9</v>
      </c>
      <c r="AO82" s="91">
        <v>6.95</v>
      </c>
      <c r="AP82" s="90">
        <v>6.9923461538461504</v>
      </c>
      <c r="AQ82" s="90">
        <v>7.0389118198874296</v>
      </c>
      <c r="AR82" s="90">
        <v>7.0854774859287</v>
      </c>
      <c r="AS82" s="90">
        <v>7.1320431519699801</v>
      </c>
      <c r="AT82" s="90">
        <v>7.1786088180112602</v>
      </c>
      <c r="AU82" s="90">
        <v>7.2251744840525296</v>
      </c>
      <c r="AV82" s="90">
        <v>7.2717401500938097</v>
      </c>
      <c r="AW82" s="90">
        <v>7.31830581613508</v>
      </c>
      <c r="AX82" s="90">
        <v>7.3648714821763601</v>
      </c>
      <c r="AY82" s="90">
        <v>7.4114371482176296</v>
      </c>
      <c r="AZ82" s="90">
        <v>7.4580028142589097</v>
      </c>
      <c r="BA82" s="90">
        <v>7.5045684803001897</v>
      </c>
      <c r="BB82" s="90">
        <v>7.5511341463414601</v>
      </c>
      <c r="BC82" s="90">
        <v>7.5976998123827402</v>
      </c>
      <c r="BD82" s="90">
        <v>7.6442654784240096</v>
      </c>
      <c r="BE82" s="90">
        <v>7.6908311444652897</v>
      </c>
      <c r="BF82" s="90">
        <v>7.73739681050656</v>
      </c>
      <c r="BG82" s="90">
        <v>7.7839624765478401</v>
      </c>
      <c r="BH82" s="90">
        <v>7.8305281425891202</v>
      </c>
      <c r="BI82" s="91">
        <v>7.8770938086303897</v>
      </c>
      <c r="BJ82" s="90">
        <v>7.9236594746716698</v>
      </c>
      <c r="BK82" s="99">
        <v>7.9702251407129401</v>
      </c>
      <c r="BL82" s="99">
        <v>8.0167908067542193</v>
      </c>
      <c r="BM82" s="99">
        <v>8.0633564727954994</v>
      </c>
      <c r="BN82" s="99">
        <v>8.1099221388367706</v>
      </c>
      <c r="BO82" s="99">
        <v>8.1564878048780507</v>
      </c>
      <c r="BP82" s="99">
        <v>8.2030534709193201</v>
      </c>
      <c r="BQ82" s="99">
        <v>8.2496191369606002</v>
      </c>
      <c r="BR82" s="99">
        <v>8.2961848030018697</v>
      </c>
      <c r="BS82" s="99">
        <v>8.3427504690431498</v>
      </c>
      <c r="BT82" s="99">
        <v>8.3893161350844299</v>
      </c>
      <c r="BU82" s="99">
        <v>8.4358818011256993</v>
      </c>
      <c r="BV82" s="99">
        <v>8.4824474671669794</v>
      </c>
      <c r="BW82" s="99">
        <v>8.5290131332082506</v>
      </c>
      <c r="BX82" s="99">
        <v>8.5755787992495307</v>
      </c>
      <c r="BY82" s="99">
        <v>8.6221444652908108</v>
      </c>
      <c r="BZ82" s="99">
        <v>8.6687101313320802</v>
      </c>
      <c r="CA82" s="99">
        <v>8.7152757973733603</v>
      </c>
      <c r="CB82" s="99">
        <v>8.7618414634146298</v>
      </c>
      <c r="CC82" s="99">
        <v>8.8084071294559099</v>
      </c>
      <c r="CD82" s="99">
        <v>8.8549727954971793</v>
      </c>
      <c r="CE82" s="99">
        <v>8.9015384615384594</v>
      </c>
      <c r="CF82" s="99">
        <v>8.9481041275797395</v>
      </c>
      <c r="CG82" s="99">
        <v>8.9946697936210107</v>
      </c>
      <c r="CH82" s="99">
        <v>9.0412354596622908</v>
      </c>
      <c r="CI82" s="99">
        <v>9.0878011257035602</v>
      </c>
      <c r="CJ82" s="99">
        <v>9.1343667917448403</v>
      </c>
      <c r="CK82" s="99">
        <v>9.1809324577861098</v>
      </c>
      <c r="CL82" s="99">
        <v>9.2274981238273899</v>
      </c>
      <c r="CM82" s="99">
        <v>9.27406378986867</v>
      </c>
      <c r="CN82" s="99">
        <v>9.3206294559099394</v>
      </c>
      <c r="CO82" s="99">
        <v>9.3671951219512195</v>
      </c>
      <c r="CP82" s="99">
        <v>9.4137607879924907</v>
      </c>
      <c r="CQ82" s="99">
        <v>9.4603264540337708</v>
      </c>
      <c r="CR82" s="99">
        <v>9.5068921200750403</v>
      </c>
      <c r="CS82" s="99">
        <v>9.5534577861163203</v>
      </c>
      <c r="CT82" s="99">
        <v>9.6000234521576004</v>
      </c>
      <c r="CU82" s="99">
        <v>9.6465891181988699</v>
      </c>
      <c r="CV82" s="99">
        <v>9.69315478424015</v>
      </c>
      <c r="CW82" s="99">
        <v>9.7397204502814194</v>
      </c>
      <c r="CX82" s="99">
        <v>9.7862861163226995</v>
      </c>
      <c r="CY82" s="99">
        <v>9.8328517823639796</v>
      </c>
      <c r="CZ82" s="99">
        <v>9.8794174484052508</v>
      </c>
      <c r="DA82" s="99">
        <v>9.9259831144465291</v>
      </c>
      <c r="DB82" s="99">
        <v>9.9725487804878004</v>
      </c>
      <c r="DC82" s="99">
        <v>10.0191144465291</v>
      </c>
      <c r="DD82" s="99">
        <v>10.0656801125704</v>
      </c>
      <c r="DE82" s="99">
        <v>10.1122457786116</v>
      </c>
      <c r="DF82" s="99">
        <v>10.158811444652899</v>
      </c>
      <c r="DG82" s="99">
        <v>10.205377110694201</v>
      </c>
      <c r="DH82" s="99">
        <v>10.2519427767355</v>
      </c>
      <c r="DI82" s="99">
        <v>10.298508442776701</v>
      </c>
      <c r="DJ82" s="99">
        <v>10.345074108818</v>
      </c>
      <c r="DK82" s="99">
        <v>10.3916397748593</v>
      </c>
      <c r="DL82" s="99">
        <v>10.4382054409006</v>
      </c>
      <c r="DM82" s="99">
        <v>10.4847711069418</v>
      </c>
      <c r="DN82" s="99">
        <v>10.531336772983099</v>
      </c>
      <c r="DO82" s="99">
        <v>10.577902439024401</v>
      </c>
      <c r="DP82" s="99">
        <v>10.6244681050657</v>
      </c>
      <c r="DQ82" s="99">
        <v>10.671033771106901</v>
      </c>
      <c r="DR82" s="99">
        <v>10.7175994371482</v>
      </c>
      <c r="DS82" s="99">
        <v>10.7641651031895</v>
      </c>
      <c r="DT82" s="99">
        <v>10.810730769230799</v>
      </c>
      <c r="DU82" s="99">
        <v>10.857296435272</v>
      </c>
      <c r="DV82" s="99">
        <v>10.903862101313299</v>
      </c>
      <c r="DW82" s="99">
        <v>10.950427767354601</v>
      </c>
      <c r="DX82" s="99">
        <v>10.9969934333959</v>
      </c>
      <c r="DY82" s="99">
        <v>11.0435590994372</v>
      </c>
      <c r="DZ82" s="99">
        <v>11.0901247654784</v>
      </c>
      <c r="EA82" s="99">
        <v>11.1366904315197</v>
      </c>
      <c r="EB82" s="99">
        <v>11.183256097560999</v>
      </c>
      <c r="EC82" s="99">
        <v>11.229821763602301</v>
      </c>
      <c r="ED82" s="99">
        <v>11.276387429643499</v>
      </c>
      <c r="EE82" s="99">
        <v>11.322953095684801</v>
      </c>
      <c r="EF82" s="99">
        <v>11.3695187617261</v>
      </c>
      <c r="EG82" s="99">
        <v>11.4160844277674</v>
      </c>
      <c r="EH82" s="99">
        <v>11.4626500938086</v>
      </c>
      <c r="EI82" s="99">
        <v>11.5092157598499</v>
      </c>
      <c r="EJ82" s="99">
        <v>11.555781425891199</v>
      </c>
      <c r="EK82" s="99">
        <v>11.602347091932501</v>
      </c>
      <c r="EL82" s="99">
        <v>11.648912757973701</v>
      </c>
      <c r="EM82" s="99">
        <v>11.695478424015</v>
      </c>
      <c r="EN82" s="99">
        <v>11.7420440900563</v>
      </c>
      <c r="EO82" s="99">
        <v>11.7886097560976</v>
      </c>
      <c r="EP82" s="99">
        <v>11.8351754221388</v>
      </c>
      <c r="EQ82" s="99">
        <v>11.8817410881801</v>
      </c>
      <c r="ER82" s="99">
        <v>11.928306754221399</v>
      </c>
      <c r="ES82" s="99">
        <v>11.974872420262701</v>
      </c>
      <c r="ET82" s="99">
        <v>12.021438086303901</v>
      </c>
      <c r="EU82" s="99">
        <v>12.0680037523452</v>
      </c>
      <c r="EV82" s="99">
        <v>12.1145694183865</v>
      </c>
      <c r="EW82" s="99">
        <v>12.1611350844278</v>
      </c>
      <c r="EX82" s="99">
        <v>12.207700750469</v>
      </c>
      <c r="EY82" s="99">
        <v>12.254266416510299</v>
      </c>
      <c r="EZ82" s="99">
        <v>12.300832082551601</v>
      </c>
      <c r="FA82" s="99">
        <v>12.347397748592901</v>
      </c>
      <c r="FB82" s="99">
        <v>12.3939634146342</v>
      </c>
      <c r="FC82" s="99">
        <v>12.4405290806754</v>
      </c>
      <c r="FD82" s="99">
        <v>12.4870947467167</v>
      </c>
      <c r="FE82" s="99">
        <v>12.533660412758</v>
      </c>
      <c r="FF82" s="99">
        <v>12.5802260787992</v>
      </c>
      <c r="FG82" s="99">
        <v>12.626791744840499</v>
      </c>
      <c r="FH82" s="99">
        <v>12.673357410881801</v>
      </c>
      <c r="FI82" s="99">
        <v>12.7199230769231</v>
      </c>
      <c r="FJ82" s="99">
        <v>12.7664887429644</v>
      </c>
      <c r="FK82" s="99">
        <v>12.8130544090056</v>
      </c>
      <c r="FL82" s="99">
        <v>12.8596200750469</v>
      </c>
      <c r="FM82" s="99">
        <v>12.906185741088199</v>
      </c>
      <c r="FN82" s="99">
        <v>12.952751407129499</v>
      </c>
      <c r="FO82" s="99">
        <v>12.999317073170699</v>
      </c>
      <c r="FP82" s="99">
        <v>13.045882739212001</v>
      </c>
      <c r="FQ82" s="99">
        <v>13.0924484052533</v>
      </c>
      <c r="FR82" s="99">
        <v>13.1390140712946</v>
      </c>
      <c r="FS82" s="99">
        <v>13.1855797373358</v>
      </c>
      <c r="FT82" s="99">
        <v>13.2321454033771</v>
      </c>
      <c r="FU82" s="99">
        <v>13.278711069418399</v>
      </c>
      <c r="FV82" s="99">
        <v>13.325276735459701</v>
      </c>
      <c r="FW82" s="99">
        <v>13.371842401500899</v>
      </c>
      <c r="FX82" s="99">
        <v>13.418408067542201</v>
      </c>
      <c r="FY82" s="99">
        <v>13.4649737335835</v>
      </c>
      <c r="FZ82" s="99">
        <v>13.5115393996248</v>
      </c>
      <c r="GA82" s="99">
        <v>13.558105065666</v>
      </c>
      <c r="GB82" s="99">
        <v>13.6046707317073</v>
      </c>
      <c r="GC82" s="99">
        <v>13.651236397748599</v>
      </c>
      <c r="GD82" s="99">
        <v>13.697802063789901</v>
      </c>
      <c r="GE82" s="99">
        <v>13.744367729831101</v>
      </c>
      <c r="GF82" s="99">
        <v>13.790933395872401</v>
      </c>
      <c r="GG82" s="99">
        <v>13.8374990619137</v>
      </c>
      <c r="GH82" s="99">
        <v>13.884064727955</v>
      </c>
      <c r="GI82" s="99">
        <v>13.9306303939962</v>
      </c>
      <c r="GJ82" s="99">
        <v>13.9771960600375</v>
      </c>
      <c r="GK82" s="99">
        <v>14.023761726078799</v>
      </c>
      <c r="GL82" s="99">
        <v>14.070327392120101</v>
      </c>
      <c r="GM82" s="99">
        <v>14.1168930581614</v>
      </c>
      <c r="GN82" s="99">
        <v>14.1634587242026</v>
      </c>
      <c r="GO82" s="99">
        <v>14.2100243902439</v>
      </c>
      <c r="GP82" s="99">
        <v>14.2565900562852</v>
      </c>
      <c r="GQ82" s="99">
        <v>14.303155722326499</v>
      </c>
      <c r="GR82" s="99">
        <v>14.3497213883677</v>
      </c>
      <c r="GS82" s="99">
        <v>14.396287054408999</v>
      </c>
      <c r="GT82" s="99">
        <v>14.442852720450301</v>
      </c>
      <c r="GU82" s="99">
        <v>14.4894183864916</v>
      </c>
      <c r="GV82" s="99">
        <v>14.5359840525328</v>
      </c>
      <c r="GW82" s="99">
        <v>14.5825497185741</v>
      </c>
      <c r="GX82" s="99">
        <v>14.6291153846154</v>
      </c>
      <c r="GY82" s="99">
        <v>14.675681050656699</v>
      </c>
      <c r="GZ82" s="99">
        <v>14.722246716697899</v>
      </c>
      <c r="HA82" s="99">
        <v>14.768812382739201</v>
      </c>
      <c r="HB82" s="99">
        <v>14.8153780487805</v>
      </c>
      <c r="HC82" s="99">
        <v>14.8619437148218</v>
      </c>
      <c r="HD82" s="99">
        <v>14.908509380863</v>
      </c>
      <c r="HE82" s="99">
        <v>14.9550750469043</v>
      </c>
      <c r="HF82" s="99">
        <v>15.0016407129456</v>
      </c>
      <c r="HG82" s="99">
        <v>15.048206378986899</v>
      </c>
      <c r="HH82" s="99">
        <v>15.094772045028099</v>
      </c>
      <c r="HI82" s="99">
        <v>15.141337711069401</v>
      </c>
      <c r="HJ82" s="99">
        <v>15.1879033771107</v>
      </c>
      <c r="HK82" s="99">
        <v>15.234469043151901</v>
      </c>
      <c r="HL82" s="99">
        <v>15.2810347091932</v>
      </c>
      <c r="HM82" s="99">
        <v>15.3276003752345</v>
      </c>
      <c r="HN82" s="99">
        <v>15.374166041275799</v>
      </c>
      <c r="HO82" s="99">
        <v>15.420731707317101</v>
      </c>
      <c r="HP82" s="99">
        <v>15.467297373358299</v>
      </c>
      <c r="HQ82" s="99">
        <v>15.513863039399601</v>
      </c>
      <c r="HR82" s="99">
        <v>15.5604287054409</v>
      </c>
      <c r="HS82" s="99">
        <v>15.6069943714822</v>
      </c>
      <c r="HT82" s="99">
        <v>15.6535600375234</v>
      </c>
      <c r="HU82" s="99">
        <v>15.7001257035647</v>
      </c>
      <c r="HV82" s="99">
        <v>15.746691369605999</v>
      </c>
      <c r="HW82" s="99">
        <v>15.793257035647301</v>
      </c>
      <c r="HX82" s="99">
        <v>15.839822701688499</v>
      </c>
      <c r="HY82" s="99">
        <v>15.886388367729801</v>
      </c>
      <c r="HZ82" s="99">
        <v>15.9329540337711</v>
      </c>
      <c r="IA82" s="99">
        <v>15.9795196998124</v>
      </c>
      <c r="IB82" s="99">
        <v>16.0260853658536</v>
      </c>
      <c r="IC82" s="99">
        <v>16.0726510318949</v>
      </c>
      <c r="ID82" s="99">
        <v>16.119216697936199</v>
      </c>
      <c r="IE82" s="99">
        <v>16.165782363977499</v>
      </c>
      <c r="IF82" s="99">
        <v>16.212348030018699</v>
      </c>
      <c r="IG82" s="99">
        <v>16.258913696059999</v>
      </c>
      <c r="IH82" s="99">
        <v>16.305479362101298</v>
      </c>
      <c r="II82" s="99">
        <v>16.352045028142602</v>
      </c>
      <c r="IJ82" s="99">
        <v>16.398610694183802</v>
      </c>
      <c r="IK82" s="99">
        <v>16.445176360225101</v>
      </c>
      <c r="IL82" s="99">
        <v>16.491742026266401</v>
      </c>
      <c r="IM82" s="99">
        <v>16.538307692307701</v>
      </c>
      <c r="IN82" s="99">
        <v>16.584873358348901</v>
      </c>
      <c r="IO82" s="99">
        <v>16.6314390243902</v>
      </c>
      <c r="IP82" s="99">
        <v>16.6780046904315</v>
      </c>
      <c r="IQ82" s="99">
        <v>16.7245703564728</v>
      </c>
      <c r="IR82" s="99">
        <v>16.771136022514099</v>
      </c>
      <c r="IS82" s="99">
        <v>16.817701688555299</v>
      </c>
      <c r="IT82" s="99">
        <v>16.864267354596599</v>
      </c>
      <c r="IU82" s="99">
        <v>16.910833020637899</v>
      </c>
      <c r="IV82" s="99">
        <v>16.957398686679198</v>
      </c>
      <c r="IW82" s="99">
        <v>17.003964352720399</v>
      </c>
      <c r="IX82" s="99">
        <v>17.050530018761702</v>
      </c>
      <c r="IY82" s="99">
        <v>17.097095684803001</v>
      </c>
      <c r="IZ82" s="99">
        <v>17.143661350844301</v>
      </c>
      <c r="JA82" s="99">
        <v>17.190227016885501</v>
      </c>
      <c r="JB82" s="99">
        <v>17.236792682926801</v>
      </c>
      <c r="JC82" s="99">
        <v>17.2833583489681</v>
      </c>
      <c r="JD82" s="99">
        <v>17.3299240150094</v>
      </c>
      <c r="JE82" s="99">
        <v>17.3764896810506</v>
      </c>
      <c r="JF82" s="99">
        <v>17.4230553470919</v>
      </c>
      <c r="JG82" s="99">
        <v>17.469621013133199</v>
      </c>
      <c r="JH82" s="99">
        <v>17.516186679174499</v>
      </c>
      <c r="JI82" s="99">
        <v>17.562752345215699</v>
      </c>
      <c r="JJ82" s="99">
        <v>17.609318011256999</v>
      </c>
      <c r="JK82" s="99">
        <v>17.655883677298299</v>
      </c>
      <c r="JL82" s="99">
        <v>17.702449343339602</v>
      </c>
      <c r="JM82" s="99">
        <v>17.749015009380798</v>
      </c>
      <c r="JN82" s="99">
        <v>17.795580675422102</v>
      </c>
      <c r="JO82" s="99">
        <v>17.842146341463401</v>
      </c>
      <c r="JP82" s="99">
        <v>17.888712007504701</v>
      </c>
      <c r="JQ82" s="99">
        <v>17.935277673545901</v>
      </c>
      <c r="JR82" s="99">
        <v>17.981843339587201</v>
      </c>
      <c r="JS82" s="99">
        <v>18.0284090056285</v>
      </c>
      <c r="JT82" s="99">
        <v>18.0749746716698</v>
      </c>
      <c r="JU82" s="99">
        <v>18.121540337711</v>
      </c>
      <c r="JV82" s="99">
        <v>18.1681060037523</v>
      </c>
      <c r="JW82" s="99">
        <v>18.214671669793599</v>
      </c>
      <c r="JX82" s="99">
        <v>18.261237335834899</v>
      </c>
      <c r="JY82" s="99">
        <v>18.307803001876199</v>
      </c>
      <c r="JZ82" s="99">
        <v>18.354368667917399</v>
      </c>
      <c r="KA82" s="99">
        <v>18.400934333958698</v>
      </c>
      <c r="KB82" s="99">
        <v>18.447500000000002</v>
      </c>
      <c r="KC82" s="99">
        <v>18.494065666041301</v>
      </c>
      <c r="KD82" s="99">
        <v>18.540631332082501</v>
      </c>
      <c r="KE82" s="99">
        <v>18.587196998123801</v>
      </c>
      <c r="KF82" s="99">
        <v>18.633762664165101</v>
      </c>
      <c r="KG82" s="99">
        <v>18.6803283302064</v>
      </c>
      <c r="KH82" s="99">
        <v>18.7268939962476</v>
      </c>
      <c r="KI82" s="99">
        <v>18.7734596622889</v>
      </c>
      <c r="KJ82" s="99">
        <v>18.8200253283302</v>
      </c>
      <c r="KK82" s="99">
        <v>18.866590994371499</v>
      </c>
      <c r="KL82" s="99">
        <v>18.913156660412699</v>
      </c>
      <c r="KM82" s="99">
        <v>18.959722326453999</v>
      </c>
      <c r="KN82" s="99">
        <v>19.006287992495299</v>
      </c>
      <c r="KO82" s="99">
        <v>19.052853658536598</v>
      </c>
      <c r="KP82" s="99">
        <v>19.099419324577799</v>
      </c>
      <c r="KQ82" s="99">
        <v>19.145984990619102</v>
      </c>
      <c r="KR82" s="99">
        <v>19.192550656660401</v>
      </c>
      <c r="KS82" s="99">
        <v>19.239116322701701</v>
      </c>
      <c r="KT82" s="99">
        <v>19.285681988742901</v>
      </c>
      <c r="KU82" s="99">
        <v>19.332247654784201</v>
      </c>
      <c r="KV82" s="99">
        <v>19.3788133208255</v>
      </c>
      <c r="KW82" s="99">
        <v>19.4253789868668</v>
      </c>
      <c r="KX82" s="99">
        <v>19.471944652908</v>
      </c>
      <c r="KY82" s="99">
        <v>19.5185103189493</v>
      </c>
      <c r="KZ82" s="99">
        <v>19.5650759849906</v>
      </c>
      <c r="LA82" s="99">
        <v>19.611641651031899</v>
      </c>
      <c r="LB82" s="99">
        <v>19.658207317073199</v>
      </c>
      <c r="LC82" s="99">
        <v>19.704772983114399</v>
      </c>
      <c r="LD82" s="99">
        <v>19.751338649155699</v>
      </c>
      <c r="LE82" s="99">
        <v>19.797904315196998</v>
      </c>
      <c r="LF82" s="99">
        <v>19.844469981238301</v>
      </c>
      <c r="LG82" s="99">
        <v>19.891035647279502</v>
      </c>
      <c r="LH82" s="99">
        <v>19.937601313320801</v>
      </c>
      <c r="LI82" s="99">
        <v>19.984166979362101</v>
      </c>
      <c r="LJ82" s="99">
        <v>20.0307326454034</v>
      </c>
      <c r="LK82" s="99">
        <v>20.077298311444601</v>
      </c>
      <c r="LL82" s="99">
        <v>20.1238639774859</v>
      </c>
      <c r="LM82" s="99">
        <v>20.1704296435272</v>
      </c>
      <c r="LN82" s="99">
        <v>20.2169953095685</v>
      </c>
      <c r="LO82" s="99">
        <v>20.2635609756097</v>
      </c>
      <c r="LP82" s="99">
        <v>20.310126641650999</v>
      </c>
      <c r="LQ82" s="99">
        <v>20.356692307692299</v>
      </c>
      <c r="LR82" s="99">
        <v>20.403257973733599</v>
      </c>
      <c r="LS82" s="99">
        <v>20.449823639774799</v>
      </c>
      <c r="LT82" s="99">
        <v>20.496389305816098</v>
      </c>
      <c r="LU82" s="99">
        <v>20.542954971857402</v>
      </c>
      <c r="LV82" s="99">
        <v>20.589520637898701</v>
      </c>
      <c r="LW82" s="99">
        <v>20.636086303939901</v>
      </c>
      <c r="LX82" s="99">
        <v>20.682651969981201</v>
      </c>
      <c r="LY82" s="99">
        <v>20.729217636022501</v>
      </c>
      <c r="LZ82" s="99">
        <v>20.7757833020638</v>
      </c>
      <c r="MA82" s="99">
        <v>20.822348968105</v>
      </c>
      <c r="MB82" s="99">
        <v>20.8689146341463</v>
      </c>
      <c r="MC82" s="99">
        <v>20.9154803001876</v>
      </c>
      <c r="MD82" s="99">
        <v>20.962045966228899</v>
      </c>
      <c r="ME82" s="99">
        <v>21.0086116322701</v>
      </c>
      <c r="MF82" s="99">
        <v>21.055177298311399</v>
      </c>
      <c r="MG82" s="99">
        <v>21.101742964352699</v>
      </c>
      <c r="MH82" s="99">
        <v>21.148308630393998</v>
      </c>
      <c r="MI82" s="99">
        <v>21.194874296435199</v>
      </c>
      <c r="MJ82" s="99">
        <v>21.241439962476498</v>
      </c>
      <c r="MK82" s="99">
        <v>21.288005628517801</v>
      </c>
      <c r="ML82" s="99">
        <v>21.334571294559101</v>
      </c>
      <c r="MM82" s="99">
        <v>21.381136960600401</v>
      </c>
      <c r="MN82" s="99">
        <v>21.427702626641601</v>
      </c>
      <c r="MO82" s="99">
        <v>21.4742682926829</v>
      </c>
      <c r="MP82" s="99">
        <v>21.5208339587242</v>
      </c>
      <c r="MQ82" s="99">
        <v>21.5673996247655</v>
      </c>
      <c r="MR82" s="99">
        <v>21.6139652908067</v>
      </c>
      <c r="MS82" s="99">
        <v>21.660530956848</v>
      </c>
      <c r="MT82" s="99">
        <v>21.707096622889299</v>
      </c>
      <c r="MU82" s="99">
        <v>21.753662288930599</v>
      </c>
      <c r="MV82" s="99">
        <v>21.800227954971799</v>
      </c>
      <c r="MW82" s="99">
        <v>21.846793621013099</v>
      </c>
      <c r="MX82" s="99">
        <v>21.893359287054398</v>
      </c>
      <c r="MY82" s="99">
        <v>21.939924953095701</v>
      </c>
      <c r="MZ82" s="99">
        <v>21.986490619136902</v>
      </c>
      <c r="NA82" s="99">
        <v>22.033056285178201</v>
      </c>
      <c r="NB82" s="99">
        <v>22.079621951219501</v>
      </c>
      <c r="NC82" s="99">
        <v>22.126187617260801</v>
      </c>
      <c r="ND82" s="99">
        <v>22.172753283302001</v>
      </c>
      <c r="NE82" s="99">
        <v>22.2193189493433</v>
      </c>
      <c r="NF82" s="99">
        <v>22.2658846153846</v>
      </c>
      <c r="NG82" s="99">
        <v>22.3124502814259</v>
      </c>
      <c r="NH82" s="99">
        <v>22.3590159474671</v>
      </c>
      <c r="NI82" s="99">
        <v>22.405581613508399</v>
      </c>
      <c r="NJ82" s="99">
        <v>22.452147279549699</v>
      </c>
      <c r="NK82" s="99">
        <v>22.498712945590999</v>
      </c>
      <c r="NL82" s="99">
        <v>22.545278611632298</v>
      </c>
      <c r="NM82" s="99">
        <v>22.591844277673498</v>
      </c>
      <c r="NN82" s="99">
        <v>22.638409943714802</v>
      </c>
      <c r="NO82" s="99">
        <v>22.684975609756101</v>
      </c>
      <c r="NP82" s="99">
        <v>22.731541275797401</v>
      </c>
      <c r="NQ82" s="99">
        <v>22.778106941838601</v>
      </c>
      <c r="NR82" s="99">
        <v>22.824672607879901</v>
      </c>
      <c r="NS82" s="99">
        <v>22.8712382739212</v>
      </c>
      <c r="NT82" s="99">
        <v>22.9178039399625</v>
      </c>
      <c r="NU82" s="99">
        <v>22.9643696060037</v>
      </c>
      <c r="NV82" s="99">
        <v>23.010935272045</v>
      </c>
      <c r="NW82" s="99">
        <v>23.057500938086299</v>
      </c>
      <c r="NX82" s="99">
        <v>23.104066604127599</v>
      </c>
      <c r="NY82" s="99">
        <v>23.150632270168799</v>
      </c>
      <c r="NZ82" s="99">
        <v>23.197197936210099</v>
      </c>
      <c r="OA82" s="99">
        <v>23.243763602251398</v>
      </c>
      <c r="OB82" s="99">
        <v>23.290329268292702</v>
      </c>
      <c r="OC82" s="99">
        <v>23.336894934333898</v>
      </c>
      <c r="OD82" s="99">
        <v>23.383460600375201</v>
      </c>
      <c r="OE82" s="99">
        <v>23.430026266416501</v>
      </c>
      <c r="OF82" s="99">
        <v>23.476591932457801</v>
      </c>
      <c r="OG82" s="99">
        <v>23.523157598499001</v>
      </c>
      <c r="OH82" s="99">
        <v>23.569723264540301</v>
      </c>
      <c r="OI82" s="99">
        <v>23.6162889305816</v>
      </c>
      <c r="OJ82" s="99">
        <v>23.6628545966229</v>
      </c>
      <c r="OK82" s="99">
        <v>23.7094202626641</v>
      </c>
      <c r="OL82" s="99">
        <v>23.7559859287054</v>
      </c>
      <c r="OM82" s="99">
        <v>23.802551594746699</v>
      </c>
      <c r="ON82" s="99">
        <v>23.849117260787999</v>
      </c>
      <c r="OO82" s="99">
        <v>23.895682926829199</v>
      </c>
      <c r="OP82" s="99">
        <v>23.942248592870499</v>
      </c>
      <c r="OQ82" s="99">
        <v>23.988814258911798</v>
      </c>
      <c r="OR82" s="99">
        <v>24.035379924953101</v>
      </c>
      <c r="OS82" s="99">
        <v>24.081945590994302</v>
      </c>
      <c r="OT82" s="99">
        <v>24.128511257035601</v>
      </c>
      <c r="OU82" s="99">
        <v>24.175076923076901</v>
      </c>
      <c r="OV82" s="99">
        <v>24.221642589118201</v>
      </c>
      <c r="OW82" s="99">
        <v>24.2682082551595</v>
      </c>
      <c r="OX82" s="99">
        <v>24.3147739212007</v>
      </c>
      <c r="OY82" s="99">
        <v>24.361339587242</v>
      </c>
      <c r="OZ82" s="99">
        <v>24.4079052532833</v>
      </c>
      <c r="PA82" s="99">
        <v>24.454470919324599</v>
      </c>
      <c r="PB82" s="99">
        <v>24.501036585365799</v>
      </c>
      <c r="PC82" s="99">
        <v>24.547602251407099</v>
      </c>
      <c r="PD82" s="99">
        <v>24.594167917448399</v>
      </c>
      <c r="PE82" s="99">
        <v>24.640733583489698</v>
      </c>
      <c r="PF82" s="99">
        <v>24.687299249530898</v>
      </c>
      <c r="PG82" s="99">
        <v>24.733864915572202</v>
      </c>
      <c r="PH82" s="99">
        <v>24.780430581613501</v>
      </c>
      <c r="PI82" s="99">
        <v>24.826996247654801</v>
      </c>
      <c r="PJ82" s="99">
        <v>24.873561913696001</v>
      </c>
      <c r="PK82" s="99">
        <v>24.920127579737301</v>
      </c>
      <c r="PL82" s="99">
        <v>24.9666932457786</v>
      </c>
      <c r="PM82" s="99">
        <v>25.0132589118199</v>
      </c>
      <c r="PN82" s="99">
        <v>25.0598245778611</v>
      </c>
      <c r="PO82" s="99">
        <v>25.1063902439024</v>
      </c>
      <c r="PP82" s="99">
        <v>25.152955909943699</v>
      </c>
      <c r="PQ82" s="99">
        <v>25.199521575984999</v>
      </c>
      <c r="PR82" s="99">
        <v>25.246087242026199</v>
      </c>
      <c r="PS82" s="99">
        <v>25.292652908067499</v>
      </c>
      <c r="PT82" s="99">
        <v>25.339218574108799</v>
      </c>
      <c r="PU82" s="99">
        <v>25.385784240150102</v>
      </c>
      <c r="PV82" s="99">
        <v>25.432349906191298</v>
      </c>
      <c r="PW82" s="99">
        <v>25.478915572232602</v>
      </c>
      <c r="PX82" s="99">
        <v>25.525481238273901</v>
      </c>
      <c r="PY82" s="99">
        <v>25.572046904315201</v>
      </c>
      <c r="PZ82" s="99">
        <v>25.6186125703565</v>
      </c>
      <c r="QA82" s="99">
        <v>25.665178236397701</v>
      </c>
      <c r="QB82" s="99">
        <v>25.711743902439</v>
      </c>
      <c r="QC82" s="99">
        <v>25.7583095684803</v>
      </c>
      <c r="QD82" s="99">
        <v>25.804875234521599</v>
      </c>
      <c r="QE82" s="99">
        <v>25.8514409005628</v>
      </c>
      <c r="QF82" s="99">
        <v>25.898006566604099</v>
      </c>
      <c r="QG82" s="99">
        <v>25.944572232645399</v>
      </c>
      <c r="QH82" s="99">
        <v>25.991137898686699</v>
      </c>
      <c r="QI82" s="99">
        <v>26.037703564727899</v>
      </c>
      <c r="QJ82" s="99">
        <v>26.084269230769198</v>
      </c>
      <c r="QK82" s="99">
        <v>26.130834896810502</v>
      </c>
      <c r="QL82" s="99">
        <v>26.177400562851801</v>
      </c>
      <c r="QM82" s="99">
        <v>26.223966228893001</v>
      </c>
      <c r="QN82" s="99">
        <v>26.270531894934301</v>
      </c>
      <c r="QO82" s="99">
        <v>26.317097560975601</v>
      </c>
      <c r="QP82" s="99">
        <v>26.3636632270169</v>
      </c>
      <c r="QQ82" s="99">
        <v>26.4102288930581</v>
      </c>
      <c r="QR82" s="99">
        <v>26.4567945590994</v>
      </c>
      <c r="QS82" s="99">
        <v>26.5033602251407</v>
      </c>
      <c r="QT82" s="99">
        <v>26.549925891181999</v>
      </c>
      <c r="QU82" s="99">
        <v>26.596491557223199</v>
      </c>
      <c r="QV82" s="99">
        <v>26.643057223264499</v>
      </c>
      <c r="QW82" s="99">
        <v>26.689622889305799</v>
      </c>
      <c r="QX82" s="99">
        <v>26.736188555347098</v>
      </c>
      <c r="QY82" s="99">
        <v>26.782754221388299</v>
      </c>
      <c r="QZ82" s="99">
        <v>26.829319887429602</v>
      </c>
      <c r="RA82" s="99">
        <v>26.875885553470901</v>
      </c>
      <c r="RB82" s="99">
        <v>26.922451219512201</v>
      </c>
      <c r="RC82" s="99">
        <v>26.969016885553401</v>
      </c>
      <c r="RD82" s="99">
        <v>27.015582551594701</v>
      </c>
      <c r="RE82" s="99">
        <v>27.062148217636</v>
      </c>
      <c r="RF82" s="99">
        <v>27.1087138836773</v>
      </c>
      <c r="RG82" s="99">
        <v>27.1552795497186</v>
      </c>
      <c r="RH82" s="99">
        <v>27.2018452157598</v>
      </c>
      <c r="RI82" s="99">
        <v>27.248410881801099</v>
      </c>
      <c r="RJ82" s="99">
        <v>27.294976547842399</v>
      </c>
      <c r="RK82" s="99">
        <v>27.341542213883699</v>
      </c>
      <c r="RL82" s="99">
        <v>27.388107879924899</v>
      </c>
      <c r="RM82" s="99">
        <v>27.434673545966199</v>
      </c>
      <c r="RN82" s="99">
        <v>27.481239212007502</v>
      </c>
      <c r="RO82" s="99">
        <v>27.527804878048801</v>
      </c>
      <c r="RP82" s="99">
        <v>27.574370544090002</v>
      </c>
      <c r="RQ82" s="99">
        <v>27.620936210131301</v>
      </c>
      <c r="RR82" s="99">
        <v>27.667501876172601</v>
      </c>
      <c r="RS82" s="99">
        <v>27.7140675422139</v>
      </c>
      <c r="RT82" s="99">
        <v>27.760633208255101</v>
      </c>
      <c r="RU82" s="99">
        <v>27.8071988742964</v>
      </c>
      <c r="RV82" s="99">
        <v>27.8537645403377</v>
      </c>
      <c r="RW82" s="99">
        <v>27.900330206379</v>
      </c>
      <c r="RX82" s="99">
        <v>27.9468958724202</v>
      </c>
      <c r="RY82" s="99">
        <v>27.993461538461499</v>
      </c>
      <c r="RZ82" s="99">
        <v>28.040027204502799</v>
      </c>
      <c r="SA82" s="99">
        <v>28.086592870544099</v>
      </c>
      <c r="SB82" s="99">
        <v>28.133158536585299</v>
      </c>
      <c r="SC82" s="99">
        <v>28.179724202626598</v>
      </c>
      <c r="SD82" s="99">
        <v>28.226289868667902</v>
      </c>
      <c r="SE82" s="99">
        <v>28.272855534709201</v>
      </c>
      <c r="SF82" s="99">
        <v>28.319421200750401</v>
      </c>
      <c r="SG82" s="99">
        <v>28.365986866791701</v>
      </c>
      <c r="SH82" s="99">
        <v>28.412552532833001</v>
      </c>
      <c r="SI82" s="99">
        <v>28.4591181988743</v>
      </c>
      <c r="SJ82" s="99">
        <v>28.5056838649156</v>
      </c>
      <c r="SK82" s="99">
        <v>28.5522495309568</v>
      </c>
      <c r="SL82" s="99">
        <v>28.5988151969981</v>
      </c>
      <c r="SM82" s="99">
        <v>28.645380863039399</v>
      </c>
      <c r="SN82" s="99">
        <v>28.691946529080699</v>
      </c>
      <c r="SO82" s="99">
        <v>28.738512195121899</v>
      </c>
      <c r="SP82" s="99">
        <v>28.785077861163199</v>
      </c>
      <c r="SQ82" s="99">
        <v>28.831643527204498</v>
      </c>
      <c r="SR82" s="99">
        <v>28.878209193245802</v>
      </c>
      <c r="SS82" s="99">
        <v>28.924774859287002</v>
      </c>
      <c r="ST82" s="99">
        <v>28.971340525328301</v>
      </c>
      <c r="SU82" s="99">
        <v>29.017906191369601</v>
      </c>
      <c r="SV82" s="99">
        <v>29.064471857410901</v>
      </c>
      <c r="SW82" s="99">
        <v>29.111037523452101</v>
      </c>
      <c r="SX82" s="99">
        <v>29.1576031894934</v>
      </c>
      <c r="SY82" s="99">
        <v>29.2041688555347</v>
      </c>
      <c r="SZ82" s="99">
        <v>29.250734521576</v>
      </c>
      <c r="TA82" s="99">
        <v>29.2973001876172</v>
      </c>
      <c r="TB82" s="99">
        <v>29.3438658536585</v>
      </c>
      <c r="TC82" s="99">
        <v>29.390431519699799</v>
      </c>
      <c r="TD82" s="99">
        <v>29.436997185741099</v>
      </c>
      <c r="TE82" s="99">
        <v>29.483562851782299</v>
      </c>
      <c r="TF82" s="99">
        <v>29.530128517823599</v>
      </c>
      <c r="TG82" s="99">
        <v>29.576694183864898</v>
      </c>
      <c r="TH82" s="99">
        <v>29.623259849906201</v>
      </c>
      <c r="TI82" s="99">
        <v>29.669825515947402</v>
      </c>
      <c r="TJ82" s="99">
        <v>29.716391181988701</v>
      </c>
      <c r="TK82" s="99">
        <v>29.762956848030001</v>
      </c>
      <c r="TL82" s="99">
        <v>29.8095225140713</v>
      </c>
      <c r="TM82" s="99">
        <v>29.8560881801126</v>
      </c>
      <c r="TN82" s="99">
        <v>29.9026538461538</v>
      </c>
      <c r="TO82" s="99">
        <v>29.9492195121951</v>
      </c>
      <c r="TP82" s="99">
        <v>29.9957851782364</v>
      </c>
      <c r="TQ82" s="99">
        <v>30.042350844277699</v>
      </c>
      <c r="TR82" s="99">
        <v>30.088916510318899</v>
      </c>
      <c r="TS82" s="99">
        <v>30.135482176360199</v>
      </c>
      <c r="TT82" s="99">
        <v>30.182047842401499</v>
      </c>
      <c r="TU82" s="99">
        <v>30.228613508442798</v>
      </c>
      <c r="TV82" s="99">
        <v>30.275179174483998</v>
      </c>
      <c r="TW82" s="99">
        <v>30.321744840525302</v>
      </c>
      <c r="TX82" s="99">
        <v>30.368310506566601</v>
      </c>
      <c r="TY82" s="99">
        <v>30.414876172607901</v>
      </c>
      <c r="TZ82" s="99">
        <v>30.461441838649101</v>
      </c>
      <c r="UA82" s="99">
        <v>30.508007504690401</v>
      </c>
      <c r="UB82" s="99">
        <v>30.5545731707317</v>
      </c>
      <c r="UC82" s="99">
        <v>30.601138836773</v>
      </c>
      <c r="UD82" s="99">
        <v>30.6477045028142</v>
      </c>
      <c r="UE82" s="99">
        <v>30.6942701688555</v>
      </c>
      <c r="UF82" s="99">
        <v>30.740835834896799</v>
      </c>
      <c r="UG82" s="99">
        <v>30.787401500938099</v>
      </c>
      <c r="UH82" s="99">
        <v>30.833967166979299</v>
      </c>
      <c r="UI82" s="99">
        <v>30.880532833020599</v>
      </c>
      <c r="UJ82" s="99">
        <v>30.927098499061898</v>
      </c>
      <c r="UK82" s="99">
        <v>30.973664165103202</v>
      </c>
      <c r="UL82" s="99">
        <v>31.020229831144398</v>
      </c>
      <c r="UM82" s="99">
        <v>31.066795497185701</v>
      </c>
      <c r="UN82" s="99">
        <v>31.113361163227001</v>
      </c>
      <c r="UO82" s="99">
        <v>31.159926829268301</v>
      </c>
      <c r="UP82" s="99">
        <v>31.206492495309501</v>
      </c>
      <c r="UQ82" s="99">
        <v>31.253058161350801</v>
      </c>
      <c r="UR82" s="99">
        <v>31.2996238273921</v>
      </c>
      <c r="US82" s="99">
        <v>31.3461894934333</v>
      </c>
      <c r="UT82" s="99">
        <v>31.3927551594746</v>
      </c>
    </row>
    <row r="83" spans="1:566" x14ac:dyDescent="0.2">
      <c r="A83" s="89">
        <v>38.5</v>
      </c>
      <c r="B83" s="90">
        <v>5.09</v>
      </c>
      <c r="C83" s="90">
        <v>5.13</v>
      </c>
      <c r="D83" s="90">
        <v>5.18</v>
      </c>
      <c r="E83" s="90">
        <v>5.22</v>
      </c>
      <c r="F83" s="90">
        <v>5.27</v>
      </c>
      <c r="G83" s="90">
        <v>5.32</v>
      </c>
      <c r="H83" s="90">
        <v>5.36</v>
      </c>
      <c r="I83" s="90">
        <v>5.41</v>
      </c>
      <c r="J83" s="90">
        <v>5.46</v>
      </c>
      <c r="K83" s="90">
        <v>5.5</v>
      </c>
      <c r="L83" s="90">
        <v>5.55</v>
      </c>
      <c r="M83" s="90">
        <v>5.59</v>
      </c>
      <c r="N83" s="90">
        <v>5.64</v>
      </c>
      <c r="O83" s="90">
        <v>5.69</v>
      </c>
      <c r="P83" s="90">
        <v>5.73</v>
      </c>
      <c r="Q83" s="90">
        <v>5.78</v>
      </c>
      <c r="R83" s="90">
        <v>5.83</v>
      </c>
      <c r="S83" s="90">
        <v>5.87</v>
      </c>
      <c r="T83" s="90">
        <v>5.92</v>
      </c>
      <c r="U83" s="91">
        <v>5.97</v>
      </c>
      <c r="V83" s="90">
        <v>6.01</v>
      </c>
      <c r="W83" s="90">
        <v>6.06</v>
      </c>
      <c r="X83" s="90">
        <v>6.1</v>
      </c>
      <c r="Y83" s="90">
        <v>6.15</v>
      </c>
      <c r="Z83" s="90">
        <v>6.2</v>
      </c>
      <c r="AA83" s="90">
        <v>6.24</v>
      </c>
      <c r="AB83" s="90">
        <v>6.29</v>
      </c>
      <c r="AC83" s="90">
        <v>6.34</v>
      </c>
      <c r="AD83" s="90">
        <v>6.38</v>
      </c>
      <c r="AE83" s="90">
        <v>6.43</v>
      </c>
      <c r="AF83" s="90">
        <v>6.47</v>
      </c>
      <c r="AG83" s="90">
        <v>6.52</v>
      </c>
      <c r="AH83" s="90">
        <v>6.57</v>
      </c>
      <c r="AI83" s="90">
        <v>6.61</v>
      </c>
      <c r="AJ83" s="90">
        <v>6.66</v>
      </c>
      <c r="AK83" s="90">
        <v>6.71</v>
      </c>
      <c r="AL83" s="90">
        <v>6.75</v>
      </c>
      <c r="AM83" s="90">
        <v>6.8</v>
      </c>
      <c r="AN83" s="90">
        <v>6.84</v>
      </c>
      <c r="AO83" s="91">
        <v>6.89</v>
      </c>
      <c r="AP83" s="90">
        <v>6.9370000000000003</v>
      </c>
      <c r="AQ83" s="90">
        <v>6.9832804878048798</v>
      </c>
      <c r="AR83" s="90">
        <v>7.0295609756097601</v>
      </c>
      <c r="AS83" s="90">
        <v>7.0758414634146396</v>
      </c>
      <c r="AT83" s="90">
        <v>7.1221219512195102</v>
      </c>
      <c r="AU83" s="90">
        <v>7.1684024390243897</v>
      </c>
      <c r="AV83" s="90">
        <v>7.21468292682927</v>
      </c>
      <c r="AW83" s="90">
        <v>7.2609634146341504</v>
      </c>
      <c r="AX83" s="90">
        <v>7.3072439024390299</v>
      </c>
      <c r="AY83" s="90">
        <v>7.3535243902438996</v>
      </c>
      <c r="AZ83" s="90">
        <v>7.39980487804878</v>
      </c>
      <c r="BA83" s="90">
        <v>7.4460853658536603</v>
      </c>
      <c r="BB83" s="90">
        <v>7.4923658536585398</v>
      </c>
      <c r="BC83" s="90">
        <v>7.5386463414634202</v>
      </c>
      <c r="BD83" s="90">
        <v>7.5849268292682899</v>
      </c>
      <c r="BE83" s="90">
        <v>7.6312073170731702</v>
      </c>
      <c r="BF83" s="90">
        <v>7.6774878048780497</v>
      </c>
      <c r="BG83" s="90">
        <v>7.7237682926829301</v>
      </c>
      <c r="BH83" s="90">
        <v>7.7700487804878096</v>
      </c>
      <c r="BI83" s="91">
        <v>7.8163292682926899</v>
      </c>
      <c r="BJ83" s="90">
        <v>7.8626097560975596</v>
      </c>
      <c r="BK83" s="99">
        <v>7.90889024390244</v>
      </c>
      <c r="BL83" s="99">
        <v>7.9551707317073204</v>
      </c>
      <c r="BM83" s="99">
        <v>8.0014512195121998</v>
      </c>
      <c r="BN83" s="99">
        <v>8.0477317073170802</v>
      </c>
      <c r="BO83" s="99">
        <v>8.0940121951219499</v>
      </c>
      <c r="BP83" s="99">
        <v>8.1402926829268303</v>
      </c>
      <c r="BQ83" s="99">
        <v>8.1865731707317106</v>
      </c>
      <c r="BR83" s="99">
        <v>8.2328536585365892</v>
      </c>
      <c r="BS83" s="99">
        <v>8.2791341463414696</v>
      </c>
      <c r="BT83" s="99">
        <v>8.3254146341463393</v>
      </c>
      <c r="BU83" s="99">
        <v>8.3716951219512197</v>
      </c>
      <c r="BV83" s="99">
        <v>8.4179756097561</v>
      </c>
      <c r="BW83" s="99">
        <v>8.4642560975609804</v>
      </c>
      <c r="BX83" s="99">
        <v>8.5105365853658608</v>
      </c>
      <c r="BY83" s="99">
        <v>8.5568170731707305</v>
      </c>
      <c r="BZ83" s="99">
        <v>8.6030975609756108</v>
      </c>
      <c r="CA83" s="99">
        <v>8.6493780487804894</v>
      </c>
      <c r="CB83" s="99">
        <v>8.6956585365853698</v>
      </c>
      <c r="CC83" s="99">
        <v>8.7419390243902502</v>
      </c>
      <c r="CD83" s="99">
        <v>8.7882195121951199</v>
      </c>
      <c r="CE83" s="99">
        <v>8.8345000000000002</v>
      </c>
      <c r="CF83" s="99">
        <v>8.8807804878048806</v>
      </c>
      <c r="CG83" s="99">
        <v>8.9270609756097592</v>
      </c>
      <c r="CH83" s="99">
        <v>8.9733414634146396</v>
      </c>
      <c r="CI83" s="99">
        <v>9.0196219512195093</v>
      </c>
      <c r="CJ83" s="99">
        <v>9.0659024390243896</v>
      </c>
      <c r="CK83" s="99">
        <v>9.11218292682927</v>
      </c>
      <c r="CL83" s="99">
        <v>9.1584634146341504</v>
      </c>
      <c r="CM83" s="99">
        <v>9.2047439024390307</v>
      </c>
      <c r="CN83" s="99">
        <v>9.2510243902439093</v>
      </c>
      <c r="CO83" s="99">
        <v>9.2973048780487808</v>
      </c>
      <c r="CP83" s="99">
        <v>9.3435853658536594</v>
      </c>
      <c r="CQ83" s="99">
        <v>9.3898658536585398</v>
      </c>
      <c r="CR83" s="99">
        <v>9.4361463414634201</v>
      </c>
      <c r="CS83" s="99">
        <v>9.4824268292683005</v>
      </c>
      <c r="CT83" s="99">
        <v>9.5287073170731702</v>
      </c>
      <c r="CU83" s="99">
        <v>9.5749878048780506</v>
      </c>
      <c r="CV83" s="99">
        <v>9.6212682926829292</v>
      </c>
      <c r="CW83" s="99">
        <v>9.6675487804878095</v>
      </c>
      <c r="CX83" s="99">
        <v>9.7138292682926899</v>
      </c>
      <c r="CY83" s="99">
        <v>9.7601097560975596</v>
      </c>
      <c r="CZ83" s="99">
        <v>9.80639024390244</v>
      </c>
      <c r="DA83" s="99">
        <v>9.8526707317073203</v>
      </c>
      <c r="DB83" s="99">
        <v>9.8989512195122007</v>
      </c>
      <c r="DC83" s="99">
        <v>9.9452317073170793</v>
      </c>
      <c r="DD83" s="99">
        <v>9.9915121951219508</v>
      </c>
      <c r="DE83" s="99">
        <v>10.037792682926799</v>
      </c>
      <c r="DF83" s="99">
        <v>10.084073170731701</v>
      </c>
      <c r="DG83" s="99">
        <v>10.130353658536601</v>
      </c>
      <c r="DH83" s="99">
        <v>10.176634146341501</v>
      </c>
      <c r="DI83" s="99">
        <v>10.222914634146299</v>
      </c>
      <c r="DJ83" s="99">
        <v>10.269195121951199</v>
      </c>
      <c r="DK83" s="99">
        <v>10.315475609756099</v>
      </c>
      <c r="DL83" s="99">
        <v>10.361756097561001</v>
      </c>
      <c r="DM83" s="99">
        <v>10.408036585365901</v>
      </c>
      <c r="DN83" s="99">
        <v>10.454317073170699</v>
      </c>
      <c r="DO83" s="99">
        <v>10.500597560975599</v>
      </c>
      <c r="DP83" s="99">
        <v>10.546878048780499</v>
      </c>
      <c r="DQ83" s="99">
        <v>10.593158536585401</v>
      </c>
      <c r="DR83" s="99">
        <v>10.6394390243902</v>
      </c>
      <c r="DS83" s="99">
        <v>10.685719512195099</v>
      </c>
      <c r="DT83" s="99">
        <v>10.731999999999999</v>
      </c>
      <c r="DU83" s="99">
        <v>10.778280487804899</v>
      </c>
      <c r="DV83" s="99">
        <v>10.824560975609799</v>
      </c>
      <c r="DW83" s="99">
        <v>10.8708414634146</v>
      </c>
      <c r="DX83" s="99">
        <v>10.917121951219499</v>
      </c>
      <c r="DY83" s="99">
        <v>10.963402439024399</v>
      </c>
      <c r="DZ83" s="99">
        <v>11.009682926829299</v>
      </c>
      <c r="EA83" s="99">
        <v>11.0559634146341</v>
      </c>
      <c r="EB83" s="99">
        <v>11.102243902439</v>
      </c>
      <c r="EC83" s="99">
        <v>11.1485243902439</v>
      </c>
      <c r="ED83" s="99">
        <v>11.194804878048799</v>
      </c>
      <c r="EE83" s="99">
        <v>11.241085365853699</v>
      </c>
      <c r="EF83" s="99">
        <v>11.2873658536585</v>
      </c>
      <c r="EG83" s="99">
        <v>11.3336463414634</v>
      </c>
      <c r="EH83" s="99">
        <v>11.3799268292683</v>
      </c>
      <c r="EI83" s="99">
        <v>11.426207317073199</v>
      </c>
      <c r="EJ83" s="99">
        <v>11.472487804878</v>
      </c>
      <c r="EK83" s="99">
        <v>11.5187682926829</v>
      </c>
      <c r="EL83" s="99">
        <v>11.5650487804878</v>
      </c>
      <c r="EM83" s="99">
        <v>11.6113292682927</v>
      </c>
      <c r="EN83" s="99">
        <v>11.6576097560976</v>
      </c>
      <c r="EO83" s="99">
        <v>11.7038902439024</v>
      </c>
      <c r="EP83" s="99">
        <v>11.7501707317073</v>
      </c>
      <c r="EQ83" s="99">
        <v>11.7964512195122</v>
      </c>
      <c r="ER83" s="99">
        <v>11.8427317073171</v>
      </c>
      <c r="ES83" s="99">
        <v>11.8890121951219</v>
      </c>
      <c r="ET83" s="99">
        <v>11.9352926829268</v>
      </c>
      <c r="EU83" s="99">
        <v>11.9815731707317</v>
      </c>
      <c r="EV83" s="99">
        <v>12.0278536585366</v>
      </c>
      <c r="EW83" s="99">
        <v>12.0741341463415</v>
      </c>
      <c r="EX83" s="99">
        <v>12.1204146341463</v>
      </c>
      <c r="EY83" s="99">
        <v>12.1666951219512</v>
      </c>
      <c r="EZ83" s="99">
        <v>12.2129756097561</v>
      </c>
      <c r="FA83" s="99">
        <v>12.259256097561</v>
      </c>
      <c r="FB83" s="99">
        <v>12.3055365853659</v>
      </c>
      <c r="FC83" s="99">
        <v>12.3518170731707</v>
      </c>
      <c r="FD83" s="99">
        <v>12.3980975609756</v>
      </c>
      <c r="FE83" s="99">
        <v>12.4443780487805</v>
      </c>
      <c r="FF83" s="99">
        <v>12.4906585365854</v>
      </c>
      <c r="FG83" s="99">
        <v>12.5369390243902</v>
      </c>
      <c r="FH83" s="99">
        <v>12.5832195121951</v>
      </c>
      <c r="FI83" s="99">
        <v>12.6295</v>
      </c>
      <c r="FJ83" s="99">
        <v>12.6757804878049</v>
      </c>
      <c r="FK83" s="99">
        <v>12.7220609756098</v>
      </c>
      <c r="FL83" s="99">
        <v>12.7683414634146</v>
      </c>
      <c r="FM83" s="99">
        <v>12.8146219512195</v>
      </c>
      <c r="FN83" s="99">
        <v>12.8609024390244</v>
      </c>
      <c r="FO83" s="99">
        <v>12.9071829268293</v>
      </c>
      <c r="FP83" s="99">
        <v>12.953463414634101</v>
      </c>
      <c r="FQ83" s="99">
        <v>12.999743902439</v>
      </c>
      <c r="FR83" s="99">
        <v>13.0460243902439</v>
      </c>
      <c r="FS83" s="99">
        <v>13.0923048780488</v>
      </c>
      <c r="FT83" s="99">
        <v>13.1385853658537</v>
      </c>
      <c r="FU83" s="99">
        <v>13.184865853658501</v>
      </c>
      <c r="FV83" s="99">
        <v>13.231146341463401</v>
      </c>
      <c r="FW83" s="99">
        <v>13.2774268292683</v>
      </c>
      <c r="FX83" s="99">
        <v>13.3237073170732</v>
      </c>
      <c r="FY83" s="99">
        <v>13.369987804878001</v>
      </c>
      <c r="FZ83" s="99">
        <v>13.416268292682901</v>
      </c>
      <c r="GA83" s="99">
        <v>13.462548780487801</v>
      </c>
      <c r="GB83" s="99">
        <v>13.5088292682927</v>
      </c>
      <c r="GC83" s="99">
        <v>13.5551097560976</v>
      </c>
      <c r="GD83" s="99">
        <v>13.601390243902401</v>
      </c>
      <c r="GE83" s="99">
        <v>13.647670731707301</v>
      </c>
      <c r="GF83" s="99">
        <v>13.693951219512201</v>
      </c>
      <c r="GG83" s="99">
        <v>13.740231707317101</v>
      </c>
      <c r="GH83" s="99">
        <v>13.786512195121899</v>
      </c>
      <c r="GI83" s="99">
        <v>13.832792682926801</v>
      </c>
      <c r="GJ83" s="99">
        <v>13.879073170731701</v>
      </c>
      <c r="GK83" s="99">
        <v>13.925353658536601</v>
      </c>
      <c r="GL83" s="99">
        <v>13.971634146341501</v>
      </c>
      <c r="GM83" s="99">
        <v>14.017914634146299</v>
      </c>
      <c r="GN83" s="99">
        <v>14.064195121951199</v>
      </c>
      <c r="GO83" s="99">
        <v>14.110475609756101</v>
      </c>
      <c r="GP83" s="99">
        <v>14.156756097561001</v>
      </c>
      <c r="GQ83" s="99">
        <v>14.203036585365901</v>
      </c>
      <c r="GR83" s="99">
        <v>14.249317073170699</v>
      </c>
      <c r="GS83" s="99">
        <v>14.295597560975599</v>
      </c>
      <c r="GT83" s="99">
        <v>14.341878048780501</v>
      </c>
      <c r="GU83" s="99">
        <v>14.388158536585401</v>
      </c>
      <c r="GV83" s="99">
        <v>14.434439024390199</v>
      </c>
      <c r="GW83" s="99">
        <v>14.480719512195099</v>
      </c>
      <c r="GX83" s="99">
        <v>14.526999999999999</v>
      </c>
      <c r="GY83" s="99">
        <v>14.573280487804899</v>
      </c>
      <c r="GZ83" s="99">
        <v>14.619560975609801</v>
      </c>
      <c r="HA83" s="99">
        <v>14.665841463414599</v>
      </c>
      <c r="HB83" s="99">
        <v>14.712121951219499</v>
      </c>
      <c r="HC83" s="99">
        <v>14.758402439024399</v>
      </c>
      <c r="HD83" s="99">
        <v>14.804682926829299</v>
      </c>
      <c r="HE83" s="99">
        <v>14.8509634146341</v>
      </c>
      <c r="HF83" s="99">
        <v>14.897243902439</v>
      </c>
      <c r="HG83" s="99">
        <v>14.943524390243899</v>
      </c>
      <c r="HH83" s="99">
        <v>14.989804878048799</v>
      </c>
      <c r="HI83" s="99">
        <v>15.036085365853699</v>
      </c>
      <c r="HJ83" s="99">
        <v>15.0823658536585</v>
      </c>
      <c r="HK83" s="99">
        <v>15.1286463414634</v>
      </c>
      <c r="HL83" s="99">
        <v>15.174926829268299</v>
      </c>
      <c r="HM83" s="99">
        <v>15.221207317073199</v>
      </c>
      <c r="HN83" s="99">
        <v>15.267487804878099</v>
      </c>
      <c r="HO83" s="99">
        <v>15.313768292682999</v>
      </c>
      <c r="HP83" s="99">
        <v>15.3600487804878</v>
      </c>
      <c r="HQ83" s="99">
        <v>15.4063292682927</v>
      </c>
      <c r="HR83" s="99">
        <v>15.452609756097599</v>
      </c>
      <c r="HS83" s="99">
        <v>15.498890243902499</v>
      </c>
      <c r="HT83" s="99">
        <v>15.5451707317073</v>
      </c>
      <c r="HU83" s="99">
        <v>15.5914512195122</v>
      </c>
      <c r="HV83" s="99">
        <v>15.6377317073171</v>
      </c>
      <c r="HW83" s="99">
        <v>15.684012195122</v>
      </c>
      <c r="HX83" s="99">
        <v>15.730292682926899</v>
      </c>
      <c r="HY83" s="99">
        <v>15.7765731707317</v>
      </c>
      <c r="HZ83" s="99">
        <v>15.8228536585366</v>
      </c>
      <c r="IA83" s="99">
        <v>15.8691341463415</v>
      </c>
      <c r="IB83" s="99">
        <v>15.9154146341464</v>
      </c>
      <c r="IC83" s="99">
        <v>15.9616951219512</v>
      </c>
      <c r="ID83" s="99">
        <v>16.007975609756102</v>
      </c>
      <c r="IE83" s="99">
        <v>16.054256097561002</v>
      </c>
      <c r="IF83" s="99">
        <v>16.100536585365901</v>
      </c>
      <c r="IG83" s="99">
        <v>16.146817073170801</v>
      </c>
      <c r="IH83" s="99">
        <v>16.193097560975598</v>
      </c>
      <c r="II83" s="99">
        <v>16.239378048780502</v>
      </c>
      <c r="IJ83" s="99">
        <v>16.285658536585402</v>
      </c>
      <c r="IK83" s="99">
        <v>16.331939024390302</v>
      </c>
      <c r="IL83" s="99">
        <v>16.378219512195098</v>
      </c>
      <c r="IM83" s="99">
        <v>16.424499999999998</v>
      </c>
      <c r="IN83" s="99">
        <v>16.470780487804898</v>
      </c>
      <c r="IO83" s="99">
        <v>16.517060975609802</v>
      </c>
      <c r="IP83" s="99">
        <v>16.563341463414702</v>
      </c>
      <c r="IQ83" s="99">
        <v>16.609621951219498</v>
      </c>
      <c r="IR83" s="99">
        <v>16.655902439024398</v>
      </c>
      <c r="IS83" s="99">
        <v>16.702182926829298</v>
      </c>
      <c r="IT83" s="99">
        <v>16.748463414634202</v>
      </c>
      <c r="IU83" s="99">
        <v>16.794743902438999</v>
      </c>
      <c r="IV83" s="99">
        <v>16.841024390243899</v>
      </c>
      <c r="IW83" s="99">
        <v>16.887304878048798</v>
      </c>
      <c r="IX83" s="99">
        <v>16.933585365853698</v>
      </c>
      <c r="IY83" s="99">
        <v>16.979865853658598</v>
      </c>
      <c r="IZ83" s="99">
        <v>17.026146341463399</v>
      </c>
      <c r="JA83" s="99">
        <v>17.072426829268299</v>
      </c>
      <c r="JB83" s="99">
        <v>17.118707317073198</v>
      </c>
      <c r="JC83" s="99">
        <v>17.164987804878098</v>
      </c>
      <c r="JD83" s="99">
        <v>17.211268292682998</v>
      </c>
      <c r="JE83" s="99">
        <v>17.257548780487799</v>
      </c>
      <c r="JF83" s="99">
        <v>17.303829268292699</v>
      </c>
      <c r="JG83" s="99">
        <v>17.350109756097599</v>
      </c>
      <c r="JH83" s="99">
        <v>17.396390243902498</v>
      </c>
      <c r="JI83" s="99">
        <v>17.442670731707299</v>
      </c>
      <c r="JJ83" s="99">
        <v>17.488951219512199</v>
      </c>
      <c r="JK83" s="99">
        <v>17.535231707317099</v>
      </c>
      <c r="JL83" s="99">
        <v>17.581512195121999</v>
      </c>
      <c r="JM83" s="99">
        <v>17.627792682926898</v>
      </c>
      <c r="JN83" s="99">
        <v>17.674073170731699</v>
      </c>
      <c r="JO83" s="99">
        <v>17.720353658536599</v>
      </c>
      <c r="JP83" s="99">
        <v>17.766634146341499</v>
      </c>
      <c r="JQ83" s="99">
        <v>17.812914634146399</v>
      </c>
      <c r="JR83" s="99">
        <v>17.859195121951199</v>
      </c>
      <c r="JS83" s="99">
        <v>17.905475609756099</v>
      </c>
      <c r="JT83" s="99">
        <v>17.951756097560999</v>
      </c>
      <c r="JU83" s="99">
        <v>17.998036585365899</v>
      </c>
      <c r="JV83" s="99">
        <v>18.044317073170799</v>
      </c>
      <c r="JW83" s="99">
        <v>18.090597560975599</v>
      </c>
      <c r="JX83" s="99">
        <v>18.136878048780499</v>
      </c>
      <c r="JY83" s="99">
        <v>18.183158536585399</v>
      </c>
      <c r="JZ83" s="99">
        <v>18.229439024390299</v>
      </c>
      <c r="KA83" s="99">
        <v>18.275719512195099</v>
      </c>
      <c r="KB83" s="99">
        <v>18.321999999999999</v>
      </c>
      <c r="KC83" s="99">
        <v>18.368280487804899</v>
      </c>
      <c r="KD83" s="99">
        <v>18.414560975609799</v>
      </c>
      <c r="KE83" s="99">
        <v>18.460841463414699</v>
      </c>
      <c r="KF83" s="99">
        <v>18.507121951219499</v>
      </c>
      <c r="KG83" s="99">
        <v>18.553402439024399</v>
      </c>
      <c r="KH83" s="99">
        <v>18.599682926829299</v>
      </c>
      <c r="KI83" s="99">
        <v>18.645963414634199</v>
      </c>
      <c r="KJ83" s="99">
        <v>18.692243902438999</v>
      </c>
      <c r="KK83" s="99">
        <v>18.738524390243899</v>
      </c>
      <c r="KL83" s="99">
        <v>18.784804878048799</v>
      </c>
      <c r="KM83" s="99">
        <v>18.831085365853699</v>
      </c>
      <c r="KN83" s="99">
        <v>18.877365853658599</v>
      </c>
      <c r="KO83" s="99">
        <v>18.9236463414634</v>
      </c>
      <c r="KP83" s="99">
        <v>18.969926829268299</v>
      </c>
      <c r="KQ83" s="99">
        <v>19.016207317073199</v>
      </c>
      <c r="KR83" s="99">
        <v>19.062487804878099</v>
      </c>
      <c r="KS83" s="99">
        <v>19.108768292682999</v>
      </c>
      <c r="KT83" s="99">
        <v>19.1550487804878</v>
      </c>
      <c r="KU83" s="99">
        <v>19.201329268292699</v>
      </c>
      <c r="KV83" s="99">
        <v>19.247609756097599</v>
      </c>
      <c r="KW83" s="99">
        <v>19.293890243902499</v>
      </c>
      <c r="KX83" s="99">
        <v>19.3401707317073</v>
      </c>
      <c r="KY83" s="99">
        <v>19.3864512195122</v>
      </c>
      <c r="KZ83" s="99">
        <v>19.4327317073171</v>
      </c>
      <c r="LA83" s="99">
        <v>19.479012195121999</v>
      </c>
      <c r="LB83" s="99">
        <v>19.525292682926899</v>
      </c>
      <c r="LC83" s="99">
        <v>19.5715731707317</v>
      </c>
      <c r="LD83" s="99">
        <v>19.6178536585366</v>
      </c>
      <c r="LE83" s="99">
        <v>19.6641341463415</v>
      </c>
      <c r="LF83" s="99">
        <v>19.710414634146399</v>
      </c>
      <c r="LG83" s="99">
        <v>19.7566951219512</v>
      </c>
      <c r="LH83" s="99">
        <v>19.8029756097561</v>
      </c>
      <c r="LI83" s="99">
        <v>19.849256097561</v>
      </c>
      <c r="LJ83" s="99">
        <v>19.8955365853659</v>
      </c>
      <c r="LK83" s="99">
        <v>19.9418170731708</v>
      </c>
      <c r="LL83" s="99">
        <v>19.9880975609756</v>
      </c>
      <c r="LM83" s="99">
        <v>20.0343780487805</v>
      </c>
      <c r="LN83" s="99">
        <v>20.0806585365854</v>
      </c>
      <c r="LO83" s="99">
        <v>20.1269390243903</v>
      </c>
      <c r="LP83" s="99">
        <v>20.1732195121951</v>
      </c>
      <c r="LQ83" s="99">
        <v>20.2195</v>
      </c>
      <c r="LR83" s="99">
        <v>20.2657804878049</v>
      </c>
      <c r="LS83" s="99">
        <v>20.3120609756098</v>
      </c>
      <c r="LT83" s="99">
        <v>20.3583414634147</v>
      </c>
      <c r="LU83" s="99">
        <v>20.4046219512195</v>
      </c>
      <c r="LV83" s="99">
        <v>20.4509024390244</v>
      </c>
      <c r="LW83" s="99">
        <v>20.4971829268293</v>
      </c>
      <c r="LX83" s="99">
        <v>20.5434634146342</v>
      </c>
      <c r="LY83" s="99">
        <v>20.589743902439</v>
      </c>
      <c r="LZ83" s="99">
        <v>20.6360243902439</v>
      </c>
      <c r="MA83" s="99">
        <v>20.6823048780488</v>
      </c>
      <c r="MB83" s="99">
        <v>20.7285853658537</v>
      </c>
      <c r="MC83" s="99">
        <v>20.7748658536586</v>
      </c>
      <c r="MD83" s="99">
        <v>20.8211463414634</v>
      </c>
      <c r="ME83" s="99">
        <v>20.8674268292683</v>
      </c>
      <c r="MF83" s="99">
        <v>20.9137073170732</v>
      </c>
      <c r="MG83" s="99">
        <v>20.9599878048781</v>
      </c>
      <c r="MH83" s="99">
        <v>21.006268292683</v>
      </c>
      <c r="MI83" s="99">
        <v>21.0525487804878</v>
      </c>
      <c r="MJ83" s="99">
        <v>21.0988292682927</v>
      </c>
      <c r="MK83" s="99">
        <v>21.1451097560976</v>
      </c>
      <c r="ML83" s="99">
        <v>21.1913902439025</v>
      </c>
      <c r="MM83" s="99">
        <v>21.237670731707301</v>
      </c>
      <c r="MN83" s="99">
        <v>21.2839512195122</v>
      </c>
      <c r="MO83" s="99">
        <v>21.3302317073171</v>
      </c>
      <c r="MP83" s="99">
        <v>21.376512195122</v>
      </c>
      <c r="MQ83" s="99">
        <v>21.4227926829269</v>
      </c>
      <c r="MR83" s="99">
        <v>21.469073170731701</v>
      </c>
      <c r="MS83" s="99">
        <v>21.515353658536601</v>
      </c>
      <c r="MT83" s="99">
        <v>21.5616341463415</v>
      </c>
      <c r="MU83" s="99">
        <v>21.6079146341464</v>
      </c>
      <c r="MV83" s="99">
        <v>21.654195121951201</v>
      </c>
      <c r="MW83" s="99">
        <v>21.700475609756101</v>
      </c>
      <c r="MX83" s="99">
        <v>21.746756097561001</v>
      </c>
      <c r="MY83" s="99">
        <v>21.7930365853659</v>
      </c>
      <c r="MZ83" s="99">
        <v>21.8393170731708</v>
      </c>
      <c r="NA83" s="99">
        <v>21.885597560975601</v>
      </c>
      <c r="NB83" s="99">
        <v>21.931878048780501</v>
      </c>
      <c r="NC83" s="99">
        <v>21.978158536585401</v>
      </c>
      <c r="ND83" s="99">
        <v>22.024439024390301</v>
      </c>
      <c r="NE83" s="99">
        <v>22.070719512195101</v>
      </c>
      <c r="NF83" s="99">
        <v>22.117000000000001</v>
      </c>
      <c r="NG83" s="99">
        <v>22.163280487804901</v>
      </c>
      <c r="NH83" s="99">
        <v>22.209560975609801</v>
      </c>
      <c r="NI83" s="99">
        <v>22.255841463414701</v>
      </c>
      <c r="NJ83" s="99">
        <v>22.302121951219501</v>
      </c>
      <c r="NK83" s="99">
        <v>22.348402439024401</v>
      </c>
      <c r="NL83" s="99">
        <v>22.394682926829301</v>
      </c>
      <c r="NM83" s="99">
        <v>22.440963414634201</v>
      </c>
      <c r="NN83" s="99">
        <v>22.487243902439001</v>
      </c>
      <c r="NO83" s="99">
        <v>22.533524390243901</v>
      </c>
      <c r="NP83" s="99">
        <v>22.579804878048801</v>
      </c>
      <c r="NQ83" s="99">
        <v>22.626085365853701</v>
      </c>
      <c r="NR83" s="99">
        <v>22.672365853658601</v>
      </c>
      <c r="NS83" s="99">
        <v>22.718646341463401</v>
      </c>
      <c r="NT83" s="99">
        <v>22.764926829268301</v>
      </c>
      <c r="NU83" s="99">
        <v>22.811207317073201</v>
      </c>
      <c r="NV83" s="99">
        <v>22.857487804878101</v>
      </c>
      <c r="NW83" s="99">
        <v>22.903768292683001</v>
      </c>
      <c r="NX83" s="99">
        <v>22.950048780487801</v>
      </c>
      <c r="NY83" s="99">
        <v>22.996329268292701</v>
      </c>
      <c r="NZ83" s="99">
        <v>23.042609756097601</v>
      </c>
      <c r="OA83" s="99">
        <v>23.088890243902501</v>
      </c>
      <c r="OB83" s="99">
        <v>23.135170731707301</v>
      </c>
      <c r="OC83" s="99">
        <v>23.181451219512201</v>
      </c>
      <c r="OD83" s="99">
        <v>23.227731707317101</v>
      </c>
      <c r="OE83" s="99">
        <v>23.274012195122001</v>
      </c>
      <c r="OF83" s="99">
        <v>23.320292682926901</v>
      </c>
      <c r="OG83" s="99">
        <v>23.366573170731701</v>
      </c>
      <c r="OH83" s="99">
        <v>23.412853658536601</v>
      </c>
      <c r="OI83" s="99">
        <v>23.459134146341501</v>
      </c>
      <c r="OJ83" s="99">
        <v>23.505414634146401</v>
      </c>
      <c r="OK83" s="99">
        <v>23.551695121951202</v>
      </c>
      <c r="OL83" s="99">
        <v>23.597975609756102</v>
      </c>
      <c r="OM83" s="99">
        <v>23.644256097561001</v>
      </c>
      <c r="ON83" s="99">
        <v>23.690536585365901</v>
      </c>
      <c r="OO83" s="99">
        <v>23.736817073170801</v>
      </c>
      <c r="OP83" s="99">
        <v>23.783097560975602</v>
      </c>
      <c r="OQ83" s="99">
        <v>23.829378048780502</v>
      </c>
      <c r="OR83" s="99">
        <v>23.875658536585401</v>
      </c>
      <c r="OS83" s="99">
        <v>23.921939024390301</v>
      </c>
      <c r="OT83" s="99">
        <v>23.968219512195098</v>
      </c>
      <c r="OU83" s="99">
        <v>24.014500000000002</v>
      </c>
      <c r="OV83" s="99">
        <v>24.060780487804902</v>
      </c>
      <c r="OW83" s="99">
        <v>24.107060975609802</v>
      </c>
      <c r="OX83" s="99">
        <v>24.153341463414701</v>
      </c>
      <c r="OY83" s="99">
        <v>24.199621951219498</v>
      </c>
      <c r="OZ83" s="99">
        <v>24.245902439024398</v>
      </c>
      <c r="PA83" s="99">
        <v>24.292182926829302</v>
      </c>
      <c r="PB83" s="99">
        <v>24.338463414634202</v>
      </c>
      <c r="PC83" s="99">
        <v>24.384743902438998</v>
      </c>
      <c r="PD83" s="99">
        <v>24.431024390243898</v>
      </c>
      <c r="PE83" s="99">
        <v>24.477304878048798</v>
      </c>
      <c r="PF83" s="99">
        <v>24.523585365853702</v>
      </c>
      <c r="PG83" s="99">
        <v>24.569865853658602</v>
      </c>
      <c r="PH83" s="99">
        <v>24.616146341463399</v>
      </c>
      <c r="PI83" s="99">
        <v>24.662426829268298</v>
      </c>
      <c r="PJ83" s="99">
        <v>24.708707317073198</v>
      </c>
      <c r="PK83" s="99">
        <v>24.754987804878098</v>
      </c>
      <c r="PL83" s="99">
        <v>24.801268292683002</v>
      </c>
      <c r="PM83" s="99">
        <v>24.847548780487799</v>
      </c>
      <c r="PN83" s="99">
        <v>24.893829268292698</v>
      </c>
      <c r="PO83" s="99">
        <v>24.940109756097598</v>
      </c>
      <c r="PP83" s="99">
        <v>24.986390243902498</v>
      </c>
      <c r="PQ83" s="99">
        <v>25.032670731707299</v>
      </c>
      <c r="PR83" s="99">
        <v>25.078951219512199</v>
      </c>
      <c r="PS83" s="99">
        <v>25.125231707317099</v>
      </c>
      <c r="PT83" s="99">
        <v>25.171512195121998</v>
      </c>
      <c r="PU83" s="99">
        <v>25.217792682926898</v>
      </c>
      <c r="PV83" s="99">
        <v>25.264073170731699</v>
      </c>
      <c r="PW83" s="99">
        <v>25.310353658536599</v>
      </c>
      <c r="PX83" s="99">
        <v>25.356634146341499</v>
      </c>
      <c r="PY83" s="99">
        <v>25.402914634146398</v>
      </c>
      <c r="PZ83" s="99">
        <v>25.449195121951199</v>
      </c>
      <c r="QA83" s="99">
        <v>25.495475609756099</v>
      </c>
      <c r="QB83" s="99">
        <v>25.541756097560999</v>
      </c>
      <c r="QC83" s="99">
        <v>25.588036585365899</v>
      </c>
      <c r="QD83" s="99">
        <v>25.634317073170799</v>
      </c>
      <c r="QE83" s="99">
        <v>25.680597560975599</v>
      </c>
      <c r="QF83" s="99">
        <v>25.726878048780499</v>
      </c>
      <c r="QG83" s="99">
        <v>25.773158536585399</v>
      </c>
      <c r="QH83" s="99">
        <v>25.819439024390299</v>
      </c>
      <c r="QI83" s="99">
        <v>25.865719512195099</v>
      </c>
      <c r="QJ83" s="99">
        <v>25.911999999999999</v>
      </c>
      <c r="QK83" s="99">
        <v>25.958280487804899</v>
      </c>
      <c r="QL83" s="99">
        <v>26.004560975609799</v>
      </c>
      <c r="QM83" s="99">
        <v>26.050841463414699</v>
      </c>
      <c r="QN83" s="99">
        <v>26.097121951219499</v>
      </c>
      <c r="QO83" s="99">
        <v>26.143402439024399</v>
      </c>
      <c r="QP83" s="99">
        <v>26.189682926829299</v>
      </c>
      <c r="QQ83" s="99">
        <v>26.235963414634199</v>
      </c>
      <c r="QR83" s="99">
        <v>26.282243902438999</v>
      </c>
      <c r="QS83" s="99">
        <v>26.328524390243899</v>
      </c>
      <c r="QT83" s="99">
        <v>26.374804878048799</v>
      </c>
      <c r="QU83" s="99">
        <v>26.421085365853699</v>
      </c>
      <c r="QV83" s="99">
        <v>26.467365853658599</v>
      </c>
      <c r="QW83" s="99">
        <v>26.513646341463399</v>
      </c>
      <c r="QX83" s="99">
        <v>26.559926829268299</v>
      </c>
      <c r="QY83" s="99">
        <v>26.606207317073199</v>
      </c>
      <c r="QZ83" s="99">
        <v>26.652487804878099</v>
      </c>
      <c r="RA83" s="99">
        <v>26.698768292682999</v>
      </c>
      <c r="RB83" s="99">
        <v>26.745048780487799</v>
      </c>
      <c r="RC83" s="99">
        <v>26.791329268292699</v>
      </c>
      <c r="RD83" s="99">
        <v>26.837609756097599</v>
      </c>
      <c r="RE83" s="99">
        <v>26.883890243902499</v>
      </c>
      <c r="RF83" s="99">
        <v>26.9301707317073</v>
      </c>
      <c r="RG83" s="99">
        <v>26.976451219512199</v>
      </c>
      <c r="RH83" s="99">
        <v>27.022731707317099</v>
      </c>
      <c r="RI83" s="99">
        <v>27.069012195121999</v>
      </c>
      <c r="RJ83" s="99">
        <v>27.115292682926899</v>
      </c>
      <c r="RK83" s="99">
        <v>27.1615731707317</v>
      </c>
      <c r="RL83" s="99">
        <v>27.2078536585366</v>
      </c>
      <c r="RM83" s="99">
        <v>27.254134146341499</v>
      </c>
      <c r="RN83" s="99">
        <v>27.300414634146399</v>
      </c>
      <c r="RO83" s="99">
        <v>27.3466951219512</v>
      </c>
      <c r="RP83" s="99">
        <v>27.3929756097561</v>
      </c>
      <c r="RQ83" s="99">
        <v>27.439256097561</v>
      </c>
      <c r="RR83" s="99">
        <v>27.485536585365899</v>
      </c>
      <c r="RS83" s="99">
        <v>27.531817073170799</v>
      </c>
      <c r="RT83" s="99">
        <v>27.5780975609756</v>
      </c>
      <c r="RU83" s="99">
        <v>27.6243780487805</v>
      </c>
      <c r="RV83" s="99">
        <v>27.6706585365854</v>
      </c>
      <c r="RW83" s="99">
        <v>27.7169390243903</v>
      </c>
      <c r="RX83" s="99">
        <v>27.7632195121951</v>
      </c>
      <c r="RY83" s="99">
        <v>27.8095</v>
      </c>
      <c r="RZ83" s="99">
        <v>27.8557804878049</v>
      </c>
      <c r="SA83" s="99">
        <v>27.9020609756098</v>
      </c>
      <c r="SB83" s="99">
        <v>27.9483414634147</v>
      </c>
      <c r="SC83" s="99">
        <v>27.9946219512195</v>
      </c>
      <c r="SD83" s="99">
        <v>28.0409024390244</v>
      </c>
      <c r="SE83" s="99">
        <v>28.0871829268293</v>
      </c>
      <c r="SF83" s="99">
        <v>28.1334634146342</v>
      </c>
      <c r="SG83" s="99">
        <v>28.179743902439</v>
      </c>
      <c r="SH83" s="99">
        <v>28.2260243902439</v>
      </c>
      <c r="SI83" s="99">
        <v>28.2723048780488</v>
      </c>
      <c r="SJ83" s="99">
        <v>28.3185853658537</v>
      </c>
      <c r="SK83" s="99">
        <v>28.3648658536586</v>
      </c>
      <c r="SL83" s="99">
        <v>28.4111463414634</v>
      </c>
      <c r="SM83" s="99">
        <v>28.4574268292683</v>
      </c>
      <c r="SN83" s="99">
        <v>28.5037073170732</v>
      </c>
      <c r="SO83" s="99">
        <v>28.5499878048781</v>
      </c>
      <c r="SP83" s="99">
        <v>28.596268292683</v>
      </c>
      <c r="SQ83" s="99">
        <v>28.6425487804878</v>
      </c>
      <c r="SR83" s="99">
        <v>28.6888292682927</v>
      </c>
      <c r="SS83" s="99">
        <v>28.7351097560976</v>
      </c>
      <c r="ST83" s="99">
        <v>28.7813902439025</v>
      </c>
      <c r="SU83" s="99">
        <v>28.8276707317073</v>
      </c>
      <c r="SV83" s="99">
        <v>28.8739512195122</v>
      </c>
      <c r="SW83" s="99">
        <v>28.9202317073171</v>
      </c>
      <c r="SX83" s="99">
        <v>28.966512195122</v>
      </c>
      <c r="SY83" s="99">
        <v>29.0127926829269</v>
      </c>
      <c r="SZ83" s="99">
        <v>29.0590731707317</v>
      </c>
      <c r="TA83" s="99">
        <v>29.1053536585366</v>
      </c>
      <c r="TB83" s="99">
        <v>29.1516341463415</v>
      </c>
      <c r="TC83" s="99">
        <v>29.1979146341464</v>
      </c>
      <c r="TD83" s="99">
        <v>29.244195121951201</v>
      </c>
      <c r="TE83" s="99">
        <v>29.290475609756101</v>
      </c>
      <c r="TF83" s="99">
        <v>29.336756097561</v>
      </c>
      <c r="TG83" s="99">
        <v>29.3830365853659</v>
      </c>
      <c r="TH83" s="99">
        <v>29.4293170731708</v>
      </c>
      <c r="TI83" s="99">
        <v>29.475597560975601</v>
      </c>
      <c r="TJ83" s="99">
        <v>29.521878048780501</v>
      </c>
      <c r="TK83" s="99">
        <v>29.5681585365854</v>
      </c>
      <c r="TL83" s="99">
        <v>29.6144390243903</v>
      </c>
      <c r="TM83" s="99">
        <v>29.660719512195101</v>
      </c>
      <c r="TN83" s="99">
        <v>29.707000000000001</v>
      </c>
      <c r="TO83" s="99">
        <v>29.753280487804901</v>
      </c>
      <c r="TP83" s="99">
        <v>29.799560975609801</v>
      </c>
      <c r="TQ83" s="99">
        <v>29.8458414634147</v>
      </c>
      <c r="TR83" s="99">
        <v>29.892121951219501</v>
      </c>
      <c r="TS83" s="99">
        <v>29.938402439024401</v>
      </c>
      <c r="TT83" s="99">
        <v>29.984682926829301</v>
      </c>
      <c r="TU83" s="99">
        <v>30.030963414634201</v>
      </c>
      <c r="TV83" s="99">
        <v>30.077243902439101</v>
      </c>
      <c r="TW83" s="99">
        <v>30.123524390243901</v>
      </c>
      <c r="TX83" s="99">
        <v>30.169804878048801</v>
      </c>
      <c r="TY83" s="99">
        <v>30.216085365853701</v>
      </c>
      <c r="TZ83" s="99">
        <v>30.262365853658601</v>
      </c>
      <c r="UA83" s="99">
        <v>30.308646341463401</v>
      </c>
      <c r="UB83" s="99">
        <v>30.354926829268301</v>
      </c>
      <c r="UC83" s="99">
        <v>30.401207317073201</v>
      </c>
      <c r="UD83" s="99">
        <v>30.447487804878101</v>
      </c>
      <c r="UE83" s="99">
        <v>30.493768292683001</v>
      </c>
      <c r="UF83" s="99">
        <v>30.540048780487801</v>
      </c>
      <c r="UG83" s="99">
        <v>30.586329268292701</v>
      </c>
      <c r="UH83" s="99">
        <v>30.632609756097601</v>
      </c>
      <c r="UI83" s="99">
        <v>30.678890243902501</v>
      </c>
      <c r="UJ83" s="99">
        <v>30.725170731707301</v>
      </c>
      <c r="UK83" s="99">
        <v>30.771451219512201</v>
      </c>
      <c r="UL83" s="99">
        <v>30.817731707317101</v>
      </c>
      <c r="UM83" s="99">
        <v>30.864012195122001</v>
      </c>
      <c r="UN83" s="99">
        <v>30.910292682926901</v>
      </c>
      <c r="UO83" s="99">
        <v>30.956573170731701</v>
      </c>
      <c r="UP83" s="99">
        <v>31.002853658536601</v>
      </c>
      <c r="UQ83" s="99">
        <v>31.049134146341501</v>
      </c>
      <c r="UR83" s="99">
        <v>31.095414634146401</v>
      </c>
      <c r="US83" s="99">
        <v>31.141695121951301</v>
      </c>
      <c r="UT83" s="99">
        <v>31.187975609756201</v>
      </c>
    </row>
    <row r="84" spans="1:566" x14ac:dyDescent="0.2">
      <c r="A84" s="89">
        <v>39</v>
      </c>
      <c r="B84" s="90">
        <v>5.04</v>
      </c>
      <c r="C84" s="90">
        <v>5.09</v>
      </c>
      <c r="D84" s="90">
        <v>5.13</v>
      </c>
      <c r="E84" s="90">
        <v>5.18</v>
      </c>
      <c r="F84" s="90">
        <v>5.23</v>
      </c>
      <c r="G84" s="90">
        <v>5.27</v>
      </c>
      <c r="H84" s="90">
        <v>5.32</v>
      </c>
      <c r="I84" s="90">
        <v>5.36</v>
      </c>
      <c r="J84" s="90">
        <v>5.41</v>
      </c>
      <c r="K84" s="90">
        <v>5.46</v>
      </c>
      <c r="L84" s="90">
        <v>5.5</v>
      </c>
      <c r="M84" s="90">
        <v>5.55</v>
      </c>
      <c r="N84" s="90">
        <v>5.59</v>
      </c>
      <c r="O84" s="90">
        <v>5.64</v>
      </c>
      <c r="P84" s="90">
        <v>5.69</v>
      </c>
      <c r="Q84" s="90">
        <v>5.73</v>
      </c>
      <c r="R84" s="90">
        <v>5.78</v>
      </c>
      <c r="S84" s="90">
        <v>5.82</v>
      </c>
      <c r="T84" s="90">
        <v>5.87</v>
      </c>
      <c r="U84" s="91">
        <v>5.92</v>
      </c>
      <c r="V84" s="90">
        <v>5.96</v>
      </c>
      <c r="W84" s="90">
        <v>6.01</v>
      </c>
      <c r="X84" s="90">
        <v>6.05</v>
      </c>
      <c r="Y84" s="90">
        <v>6.1</v>
      </c>
      <c r="Z84" s="90">
        <v>6.15</v>
      </c>
      <c r="AA84" s="90">
        <v>6.19</v>
      </c>
      <c r="AB84" s="90">
        <v>6.24</v>
      </c>
      <c r="AC84" s="90">
        <v>6.29</v>
      </c>
      <c r="AD84" s="90">
        <v>6.33</v>
      </c>
      <c r="AE84" s="90">
        <v>6.38</v>
      </c>
      <c r="AF84" s="90">
        <v>6.42</v>
      </c>
      <c r="AG84" s="90">
        <v>6.47</v>
      </c>
      <c r="AH84" s="90">
        <v>6.52</v>
      </c>
      <c r="AI84" s="90">
        <v>6.56</v>
      </c>
      <c r="AJ84" s="90">
        <v>6.61</v>
      </c>
      <c r="AK84" s="90">
        <v>6.65</v>
      </c>
      <c r="AL84" s="90">
        <v>6.7</v>
      </c>
      <c r="AM84" s="90">
        <v>6.75</v>
      </c>
      <c r="AN84" s="90">
        <v>6.79</v>
      </c>
      <c r="AO84" s="91">
        <v>6.84</v>
      </c>
      <c r="AP84" s="90">
        <v>6.8845000000000001</v>
      </c>
      <c r="AQ84" s="90">
        <v>6.93058536585366</v>
      </c>
      <c r="AR84" s="90">
        <v>6.97667073170732</v>
      </c>
      <c r="AS84" s="90">
        <v>7.02275609756098</v>
      </c>
      <c r="AT84" s="90">
        <v>7.0688414634146399</v>
      </c>
      <c r="AU84" s="90">
        <v>7.1149268292682901</v>
      </c>
      <c r="AV84" s="90">
        <v>7.1610121951219501</v>
      </c>
      <c r="AW84" s="90">
        <v>7.2070975609756101</v>
      </c>
      <c r="AX84" s="90">
        <v>7.25318292682927</v>
      </c>
      <c r="AY84" s="90">
        <v>7.29926829268293</v>
      </c>
      <c r="AZ84" s="90">
        <v>7.3453536585365899</v>
      </c>
      <c r="BA84" s="90">
        <v>7.3914390243902499</v>
      </c>
      <c r="BB84" s="90">
        <v>7.4375243902439001</v>
      </c>
      <c r="BC84" s="90">
        <v>7.4836097560975601</v>
      </c>
      <c r="BD84" s="90">
        <v>7.52969512195122</v>
      </c>
      <c r="BE84" s="90">
        <v>7.57578048780488</v>
      </c>
      <c r="BF84" s="90">
        <v>7.62186585365854</v>
      </c>
      <c r="BG84" s="90">
        <v>7.6679512195121999</v>
      </c>
      <c r="BH84" s="90">
        <v>7.7140365853658501</v>
      </c>
      <c r="BI84" s="91">
        <v>7.7601219512195101</v>
      </c>
      <c r="BJ84" s="90">
        <v>7.8062073170731701</v>
      </c>
      <c r="BK84" s="99">
        <v>7.85229268292683</v>
      </c>
      <c r="BL84" s="99">
        <v>7.89837804878049</v>
      </c>
      <c r="BM84" s="99">
        <v>7.94446341463415</v>
      </c>
      <c r="BN84" s="99">
        <v>7.9905487804878099</v>
      </c>
      <c r="BO84" s="99">
        <v>8.0366341463414592</v>
      </c>
      <c r="BP84" s="99">
        <v>8.0827195121951192</v>
      </c>
      <c r="BQ84" s="99">
        <v>8.1288048780487792</v>
      </c>
      <c r="BR84" s="99">
        <v>8.1748902439024391</v>
      </c>
      <c r="BS84" s="99">
        <v>8.2209756097561009</v>
      </c>
      <c r="BT84" s="99">
        <v>8.2670609756097608</v>
      </c>
      <c r="BU84" s="99">
        <v>8.3131463414634208</v>
      </c>
      <c r="BV84" s="99">
        <v>8.3592317073170701</v>
      </c>
      <c r="BW84" s="99">
        <v>8.4053170731707301</v>
      </c>
      <c r="BX84" s="99">
        <v>8.45140243902439</v>
      </c>
      <c r="BY84" s="99">
        <v>8.49748780487805</v>
      </c>
      <c r="BZ84" s="99">
        <v>8.54357317073171</v>
      </c>
      <c r="CA84" s="99">
        <v>8.5896585365853699</v>
      </c>
      <c r="CB84" s="99">
        <v>8.6357439024390299</v>
      </c>
      <c r="CC84" s="99">
        <v>8.6818292682926792</v>
      </c>
      <c r="CD84" s="99">
        <v>8.7279146341463392</v>
      </c>
      <c r="CE84" s="99">
        <v>8.7739999999999991</v>
      </c>
      <c r="CF84" s="99">
        <v>8.8200853658536609</v>
      </c>
      <c r="CG84" s="99">
        <v>8.8661707317073208</v>
      </c>
      <c r="CH84" s="99">
        <v>8.9122560975609808</v>
      </c>
      <c r="CI84" s="99">
        <v>8.9583414634146408</v>
      </c>
      <c r="CJ84" s="99">
        <v>9.0044268292682901</v>
      </c>
      <c r="CK84" s="99">
        <v>9.05051219512195</v>
      </c>
      <c r="CL84" s="99">
        <v>9.09659756097561</v>
      </c>
      <c r="CM84" s="99">
        <v>9.14268292682927</v>
      </c>
      <c r="CN84" s="99">
        <v>9.1887682926829299</v>
      </c>
      <c r="CO84" s="99">
        <v>9.2348536585365899</v>
      </c>
      <c r="CP84" s="99">
        <v>9.2809390243902499</v>
      </c>
      <c r="CQ84" s="99">
        <v>9.3270243902438992</v>
      </c>
      <c r="CR84" s="99">
        <v>9.3731097560975591</v>
      </c>
      <c r="CS84" s="99">
        <v>9.4191951219512209</v>
      </c>
      <c r="CT84" s="99">
        <v>9.4652804878048808</v>
      </c>
      <c r="CU84" s="99">
        <v>9.5113658536585408</v>
      </c>
      <c r="CV84" s="99">
        <v>9.5574512195122008</v>
      </c>
      <c r="CW84" s="99">
        <v>9.6035365853658607</v>
      </c>
      <c r="CX84" s="99">
        <v>9.6496219512195101</v>
      </c>
      <c r="CY84" s="99">
        <v>9.69570731707317</v>
      </c>
      <c r="CZ84" s="99">
        <v>9.74179268292683</v>
      </c>
      <c r="DA84" s="99">
        <v>9.7878780487804899</v>
      </c>
      <c r="DB84" s="99">
        <v>9.8339634146341499</v>
      </c>
      <c r="DC84" s="99">
        <v>9.8800487804878099</v>
      </c>
      <c r="DD84" s="99">
        <v>9.9261341463414592</v>
      </c>
      <c r="DE84" s="99">
        <v>9.9722195121951192</v>
      </c>
      <c r="DF84" s="99">
        <v>10.0183048780488</v>
      </c>
      <c r="DG84" s="99">
        <v>10.0643902439024</v>
      </c>
      <c r="DH84" s="99">
        <v>10.110475609756101</v>
      </c>
      <c r="DI84" s="99">
        <v>10.1565609756098</v>
      </c>
      <c r="DJ84" s="99">
        <v>10.202646341463399</v>
      </c>
      <c r="DK84" s="99">
        <v>10.2487317073171</v>
      </c>
      <c r="DL84" s="99">
        <v>10.2948170731707</v>
      </c>
      <c r="DM84" s="99">
        <v>10.340902439024401</v>
      </c>
      <c r="DN84" s="99">
        <v>10.386987804878</v>
      </c>
      <c r="DO84" s="99">
        <v>10.433073170731699</v>
      </c>
      <c r="DP84" s="99">
        <v>10.4791585365854</v>
      </c>
      <c r="DQ84" s="99">
        <v>10.525243902439</v>
      </c>
      <c r="DR84" s="99">
        <v>10.5713292682927</v>
      </c>
      <c r="DS84" s="99">
        <v>10.6174146341463</v>
      </c>
      <c r="DT84" s="99">
        <v>10.663500000000001</v>
      </c>
      <c r="DU84" s="99">
        <v>10.7095853658537</v>
      </c>
      <c r="DV84" s="99">
        <v>10.755670731707299</v>
      </c>
      <c r="DW84" s="99">
        <v>10.801756097561</v>
      </c>
      <c r="DX84" s="99">
        <v>10.8478414634146</v>
      </c>
      <c r="DY84" s="99">
        <v>10.893926829268301</v>
      </c>
      <c r="DZ84" s="99">
        <v>10.9400121951219</v>
      </c>
      <c r="EA84" s="99">
        <v>10.986097560975599</v>
      </c>
      <c r="EB84" s="99">
        <v>11.0321829268293</v>
      </c>
      <c r="EC84" s="99">
        <v>11.0782682926829</v>
      </c>
      <c r="ED84" s="99">
        <v>11.124353658536601</v>
      </c>
      <c r="EE84" s="99">
        <v>11.1704390243902</v>
      </c>
      <c r="EF84" s="99">
        <v>11.216524390243899</v>
      </c>
      <c r="EG84" s="99">
        <v>11.2626097560976</v>
      </c>
      <c r="EH84" s="99">
        <v>11.3086951219512</v>
      </c>
      <c r="EI84" s="99">
        <v>11.3547804878049</v>
      </c>
      <c r="EJ84" s="99">
        <v>11.4008658536585</v>
      </c>
      <c r="EK84" s="99">
        <v>11.446951219512201</v>
      </c>
      <c r="EL84" s="99">
        <v>11.4930365853659</v>
      </c>
      <c r="EM84" s="99">
        <v>11.539121951219499</v>
      </c>
      <c r="EN84" s="99">
        <v>11.5852073170732</v>
      </c>
      <c r="EO84" s="99">
        <v>11.6312926829268</v>
      </c>
      <c r="EP84" s="99">
        <v>11.677378048780501</v>
      </c>
      <c r="EQ84" s="99">
        <v>11.7234634146341</v>
      </c>
      <c r="ER84" s="99">
        <v>11.769548780487799</v>
      </c>
      <c r="ES84" s="99">
        <v>11.8156341463415</v>
      </c>
      <c r="ET84" s="99">
        <v>11.8617195121951</v>
      </c>
      <c r="EU84" s="99">
        <v>11.9078048780488</v>
      </c>
      <c r="EV84" s="99">
        <v>11.9538902439024</v>
      </c>
      <c r="EW84" s="99">
        <v>11.999975609756101</v>
      </c>
      <c r="EX84" s="99">
        <v>12.0460609756098</v>
      </c>
      <c r="EY84" s="99">
        <v>12.092146341463399</v>
      </c>
      <c r="EZ84" s="99">
        <v>12.1382317073171</v>
      </c>
      <c r="FA84" s="99">
        <v>12.1843170731707</v>
      </c>
      <c r="FB84" s="99">
        <v>12.230402439024401</v>
      </c>
      <c r="FC84" s="99">
        <v>12.276487804878</v>
      </c>
      <c r="FD84" s="99">
        <v>12.322573170731699</v>
      </c>
      <c r="FE84" s="99">
        <v>12.3686585365854</v>
      </c>
      <c r="FF84" s="99">
        <v>12.414743902439</v>
      </c>
      <c r="FG84" s="99">
        <v>12.4608292682927</v>
      </c>
      <c r="FH84" s="99">
        <v>12.5069146341463</v>
      </c>
      <c r="FI84" s="99">
        <v>12.553000000000001</v>
      </c>
      <c r="FJ84" s="99">
        <v>12.5990853658537</v>
      </c>
      <c r="FK84" s="99">
        <v>12.645170731707299</v>
      </c>
      <c r="FL84" s="99">
        <v>12.691256097561</v>
      </c>
      <c r="FM84" s="99">
        <v>12.7373414634146</v>
      </c>
      <c r="FN84" s="99">
        <v>12.783426829268301</v>
      </c>
      <c r="FO84" s="99">
        <v>12.8295121951219</v>
      </c>
      <c r="FP84" s="99">
        <v>12.875597560975599</v>
      </c>
      <c r="FQ84" s="99">
        <v>12.9216829268293</v>
      </c>
      <c r="FR84" s="99">
        <v>12.9677682926829</v>
      </c>
      <c r="FS84" s="99">
        <v>13.0138536585366</v>
      </c>
      <c r="FT84" s="99">
        <v>13.0599390243902</v>
      </c>
      <c r="FU84" s="99">
        <v>13.106024390243901</v>
      </c>
      <c r="FV84" s="99">
        <v>13.1521097560976</v>
      </c>
      <c r="FW84" s="99">
        <v>13.198195121951199</v>
      </c>
      <c r="FX84" s="99">
        <v>13.2442804878049</v>
      </c>
      <c r="FY84" s="99">
        <v>13.2903658536585</v>
      </c>
      <c r="FZ84" s="99">
        <v>13.336451219512201</v>
      </c>
      <c r="GA84" s="99">
        <v>13.3825365853658</v>
      </c>
      <c r="GB84" s="99">
        <v>13.428621951219499</v>
      </c>
      <c r="GC84" s="99">
        <v>13.4747073170732</v>
      </c>
      <c r="GD84" s="99">
        <v>13.5207926829268</v>
      </c>
      <c r="GE84" s="99">
        <v>13.566878048780501</v>
      </c>
      <c r="GF84" s="99">
        <v>13.6129634146341</v>
      </c>
      <c r="GG84" s="99">
        <v>13.659048780487799</v>
      </c>
      <c r="GH84" s="99">
        <v>13.7051341463415</v>
      </c>
      <c r="GI84" s="99">
        <v>13.7512195121951</v>
      </c>
      <c r="GJ84" s="99">
        <v>13.7973048780488</v>
      </c>
      <c r="GK84" s="99">
        <v>13.8433902439024</v>
      </c>
      <c r="GL84" s="99">
        <v>13.889475609756101</v>
      </c>
      <c r="GM84" s="99">
        <v>13.9355609756098</v>
      </c>
      <c r="GN84" s="99">
        <v>13.981646341463399</v>
      </c>
      <c r="GO84" s="99">
        <v>14.0277317073171</v>
      </c>
      <c r="GP84" s="99">
        <v>14.0738170731707</v>
      </c>
      <c r="GQ84" s="99">
        <v>14.119902439024401</v>
      </c>
      <c r="GR84" s="99">
        <v>14.165987804878</v>
      </c>
      <c r="GS84" s="99">
        <v>14.212073170731699</v>
      </c>
      <c r="GT84" s="99">
        <v>14.2581585365854</v>
      </c>
      <c r="GU84" s="99">
        <v>14.304243902439</v>
      </c>
      <c r="GV84" s="99">
        <v>14.3503292682927</v>
      </c>
      <c r="GW84" s="99">
        <v>14.3964146341463</v>
      </c>
      <c r="GX84" s="99">
        <v>14.442500000000001</v>
      </c>
      <c r="GY84" s="99">
        <v>14.4885853658537</v>
      </c>
      <c r="GZ84" s="99">
        <v>14.534670731707299</v>
      </c>
      <c r="HA84" s="99">
        <v>14.580756097561</v>
      </c>
      <c r="HB84" s="99">
        <v>14.6268414634146</v>
      </c>
      <c r="HC84" s="99">
        <v>14.672926829268301</v>
      </c>
      <c r="HD84" s="99">
        <v>14.7190121951219</v>
      </c>
      <c r="HE84" s="99">
        <v>14.765097560975599</v>
      </c>
      <c r="HF84" s="99">
        <v>14.8111829268293</v>
      </c>
      <c r="HG84" s="99">
        <v>14.8572682926829</v>
      </c>
      <c r="HH84" s="99">
        <v>14.9033536585366</v>
      </c>
      <c r="HI84" s="99">
        <v>14.9494390243902</v>
      </c>
      <c r="HJ84" s="99">
        <v>14.995524390243901</v>
      </c>
      <c r="HK84" s="99">
        <v>15.0416097560976</v>
      </c>
      <c r="HL84" s="99">
        <v>15.087695121951301</v>
      </c>
      <c r="HM84" s="99">
        <v>15.1337804878049</v>
      </c>
      <c r="HN84" s="99">
        <v>15.179865853658599</v>
      </c>
      <c r="HO84" s="99">
        <v>15.225951219512201</v>
      </c>
      <c r="HP84" s="99">
        <v>15.2720365853659</v>
      </c>
      <c r="HQ84" s="99">
        <v>15.318121951219601</v>
      </c>
      <c r="HR84" s="99">
        <v>15.3642073170732</v>
      </c>
      <c r="HS84" s="99">
        <v>15.410292682926899</v>
      </c>
      <c r="HT84" s="99">
        <v>15.4563780487805</v>
      </c>
      <c r="HU84" s="99">
        <v>15.5024634146342</v>
      </c>
      <c r="HV84" s="99">
        <v>15.548548780487801</v>
      </c>
      <c r="HW84" s="99">
        <v>15.5946341463415</v>
      </c>
      <c r="HX84" s="99">
        <v>15.640719512195201</v>
      </c>
      <c r="HY84" s="99">
        <v>15.6868048780488</v>
      </c>
      <c r="HZ84" s="99">
        <v>15.732890243902499</v>
      </c>
      <c r="IA84" s="99">
        <v>15.778975609756101</v>
      </c>
      <c r="IB84" s="99">
        <v>15.8250609756098</v>
      </c>
      <c r="IC84" s="99">
        <v>15.871146341463501</v>
      </c>
      <c r="ID84" s="99">
        <v>15.9172317073171</v>
      </c>
      <c r="IE84" s="99">
        <v>15.963317073170799</v>
      </c>
      <c r="IF84" s="99">
        <v>16.009402439024399</v>
      </c>
      <c r="IG84" s="99">
        <v>16.055487804878101</v>
      </c>
      <c r="IH84" s="99">
        <v>16.101573170731701</v>
      </c>
      <c r="II84" s="99">
        <v>16.1476585365854</v>
      </c>
      <c r="IJ84" s="99">
        <v>16.193743902439099</v>
      </c>
      <c r="IK84" s="99">
        <v>16.239829268292699</v>
      </c>
      <c r="IL84" s="99">
        <v>16.285914634146401</v>
      </c>
      <c r="IM84" s="99">
        <v>16.332000000000001</v>
      </c>
      <c r="IN84" s="99">
        <v>16.3780853658537</v>
      </c>
      <c r="IO84" s="99">
        <v>16.424170731707399</v>
      </c>
      <c r="IP84" s="99">
        <v>16.470256097560998</v>
      </c>
      <c r="IQ84" s="99">
        <v>16.516341463414701</v>
      </c>
      <c r="IR84" s="99">
        <v>16.562426829268301</v>
      </c>
      <c r="IS84" s="99">
        <v>16.608512195122</v>
      </c>
      <c r="IT84" s="99">
        <v>16.654597560975699</v>
      </c>
      <c r="IU84" s="99">
        <v>16.700682926829298</v>
      </c>
      <c r="IV84" s="99">
        <v>16.746768292683001</v>
      </c>
      <c r="IW84" s="99">
        <v>16.7928536585366</v>
      </c>
      <c r="IX84" s="99">
        <v>16.838939024390299</v>
      </c>
      <c r="IY84" s="99">
        <v>16.885024390243899</v>
      </c>
      <c r="IZ84" s="99">
        <v>16.931109756097602</v>
      </c>
      <c r="JA84" s="99">
        <v>16.977195121951301</v>
      </c>
      <c r="JB84" s="99">
        <v>17.0232804878049</v>
      </c>
      <c r="JC84" s="99">
        <v>17.069365853658599</v>
      </c>
      <c r="JD84" s="99">
        <v>17.115451219512199</v>
      </c>
      <c r="JE84" s="99">
        <v>17.161536585365901</v>
      </c>
      <c r="JF84" s="99">
        <v>17.2076219512196</v>
      </c>
      <c r="JG84" s="99">
        <v>17.2537073170732</v>
      </c>
      <c r="JH84" s="99">
        <v>17.299792682926899</v>
      </c>
      <c r="JI84" s="99">
        <v>17.345878048780499</v>
      </c>
      <c r="JJ84" s="99">
        <v>17.391963414634201</v>
      </c>
      <c r="JK84" s="99">
        <v>17.438048780487801</v>
      </c>
      <c r="JL84" s="99">
        <v>17.4841341463415</v>
      </c>
      <c r="JM84" s="99">
        <v>17.530219512195199</v>
      </c>
      <c r="JN84" s="99">
        <v>17.576304878048798</v>
      </c>
      <c r="JO84" s="99">
        <v>17.622390243902501</v>
      </c>
      <c r="JP84" s="99">
        <v>17.668475609756101</v>
      </c>
      <c r="JQ84" s="99">
        <v>17.7145609756098</v>
      </c>
      <c r="JR84" s="99">
        <v>17.760646341463499</v>
      </c>
      <c r="JS84" s="99">
        <v>17.806731707317098</v>
      </c>
      <c r="JT84" s="99">
        <v>17.852817073170801</v>
      </c>
      <c r="JU84" s="99">
        <v>17.8989024390244</v>
      </c>
      <c r="JV84" s="99">
        <v>17.9449878048781</v>
      </c>
      <c r="JW84" s="99">
        <v>17.991073170731699</v>
      </c>
      <c r="JX84" s="99">
        <v>18.037158536585402</v>
      </c>
      <c r="JY84" s="99">
        <v>18.083243902439101</v>
      </c>
      <c r="JZ84" s="99">
        <v>18.1293292682927</v>
      </c>
      <c r="KA84" s="99">
        <v>18.175414634146399</v>
      </c>
      <c r="KB84" s="99">
        <v>18.221499999999999</v>
      </c>
      <c r="KC84" s="99">
        <v>18.267585365853702</v>
      </c>
      <c r="KD84" s="99">
        <v>18.313670731707401</v>
      </c>
      <c r="KE84" s="99">
        <v>18.359756097561</v>
      </c>
      <c r="KF84" s="99">
        <v>18.405841463414699</v>
      </c>
      <c r="KG84" s="99">
        <v>18.451926829268299</v>
      </c>
      <c r="KH84" s="99">
        <v>18.498012195122001</v>
      </c>
      <c r="KI84" s="99">
        <v>18.5440975609757</v>
      </c>
      <c r="KJ84" s="99">
        <v>18.5901829268293</v>
      </c>
      <c r="KK84" s="99">
        <v>18.636268292682999</v>
      </c>
      <c r="KL84" s="99">
        <v>18.682353658536599</v>
      </c>
      <c r="KM84" s="99">
        <v>18.728439024390301</v>
      </c>
      <c r="KN84" s="99">
        <v>18.774524390243901</v>
      </c>
      <c r="KO84" s="99">
        <v>18.8206097560976</v>
      </c>
      <c r="KP84" s="99">
        <v>18.866695121951299</v>
      </c>
      <c r="KQ84" s="99">
        <v>18.912780487804898</v>
      </c>
      <c r="KR84" s="99">
        <v>18.958865853658601</v>
      </c>
      <c r="KS84" s="99">
        <v>19.004951219512201</v>
      </c>
      <c r="KT84" s="99">
        <v>19.0510365853659</v>
      </c>
      <c r="KU84" s="99">
        <v>19.097121951219599</v>
      </c>
      <c r="KV84" s="99">
        <v>19.143207317073198</v>
      </c>
      <c r="KW84" s="99">
        <v>19.189292682926901</v>
      </c>
      <c r="KX84" s="99">
        <v>19.2353780487805</v>
      </c>
      <c r="KY84" s="99">
        <v>19.281463414634199</v>
      </c>
      <c r="KZ84" s="99">
        <v>19.327548780487799</v>
      </c>
      <c r="LA84" s="99">
        <v>19.373634146341502</v>
      </c>
      <c r="LB84" s="99">
        <v>19.419719512195201</v>
      </c>
      <c r="LC84" s="99">
        <v>19.4658048780488</v>
      </c>
      <c r="LD84" s="99">
        <v>19.511890243902499</v>
      </c>
      <c r="LE84" s="99">
        <v>19.557975609756099</v>
      </c>
      <c r="LF84" s="99">
        <v>19.604060975609801</v>
      </c>
      <c r="LG84" s="99">
        <v>19.6501463414635</v>
      </c>
      <c r="LH84" s="99">
        <v>19.6962317073171</v>
      </c>
      <c r="LI84" s="99">
        <v>19.742317073170799</v>
      </c>
      <c r="LJ84" s="99">
        <v>19.788402439024399</v>
      </c>
      <c r="LK84" s="99">
        <v>19.834487804878101</v>
      </c>
      <c r="LL84" s="99">
        <v>19.880573170731701</v>
      </c>
      <c r="LM84" s="99">
        <v>19.9266585365854</v>
      </c>
      <c r="LN84" s="99">
        <v>19.972743902439099</v>
      </c>
      <c r="LO84" s="99">
        <v>20.018829268292698</v>
      </c>
      <c r="LP84" s="99">
        <v>20.064914634146401</v>
      </c>
      <c r="LQ84" s="99">
        <v>20.111000000000001</v>
      </c>
      <c r="LR84" s="99">
        <v>20.1570853658537</v>
      </c>
      <c r="LS84" s="99">
        <v>20.203170731707399</v>
      </c>
      <c r="LT84" s="99">
        <v>20.249256097560998</v>
      </c>
      <c r="LU84" s="99">
        <v>20.295341463414701</v>
      </c>
      <c r="LV84" s="99">
        <v>20.3414268292683</v>
      </c>
      <c r="LW84" s="99">
        <v>20.387512195122</v>
      </c>
      <c r="LX84" s="99">
        <v>20.433597560975699</v>
      </c>
      <c r="LY84" s="99">
        <v>20.479682926829302</v>
      </c>
      <c r="LZ84" s="99">
        <v>20.525768292683001</v>
      </c>
      <c r="MA84" s="99">
        <v>20.5718536585366</v>
      </c>
      <c r="MB84" s="99">
        <v>20.617939024390299</v>
      </c>
      <c r="MC84" s="99">
        <v>20.664024390243899</v>
      </c>
      <c r="MD84" s="99">
        <v>20.710109756097602</v>
      </c>
      <c r="ME84" s="99">
        <v>20.756195121951301</v>
      </c>
      <c r="MF84" s="99">
        <v>20.8022804878049</v>
      </c>
      <c r="MG84" s="99">
        <v>20.848365853658599</v>
      </c>
      <c r="MH84" s="99">
        <v>20.894451219512199</v>
      </c>
      <c r="MI84" s="99">
        <v>20.940536585365901</v>
      </c>
      <c r="MJ84" s="99">
        <v>20.9866219512196</v>
      </c>
      <c r="MK84" s="99">
        <v>21.0327073170732</v>
      </c>
      <c r="ML84" s="99">
        <v>21.078792682926899</v>
      </c>
      <c r="MM84" s="99">
        <v>21.124878048780499</v>
      </c>
      <c r="MN84" s="99">
        <v>21.170963414634201</v>
      </c>
      <c r="MO84" s="99">
        <v>21.217048780487801</v>
      </c>
      <c r="MP84" s="99">
        <v>21.2631341463415</v>
      </c>
      <c r="MQ84" s="99">
        <v>21.309219512195199</v>
      </c>
      <c r="MR84" s="99">
        <v>21.355304878048798</v>
      </c>
      <c r="MS84" s="99">
        <v>21.401390243902501</v>
      </c>
      <c r="MT84" s="99">
        <v>21.447475609756101</v>
      </c>
      <c r="MU84" s="99">
        <v>21.4935609756098</v>
      </c>
      <c r="MV84" s="99">
        <v>21.539646341463499</v>
      </c>
      <c r="MW84" s="99">
        <v>21.585731707317098</v>
      </c>
      <c r="MX84" s="99">
        <v>21.631817073170801</v>
      </c>
      <c r="MY84" s="99">
        <v>21.6779024390244</v>
      </c>
      <c r="MZ84" s="99">
        <v>21.723987804878099</v>
      </c>
      <c r="NA84" s="99">
        <v>21.770073170731699</v>
      </c>
      <c r="NB84" s="99">
        <v>21.816158536585402</v>
      </c>
      <c r="NC84" s="99">
        <v>21.862243902439101</v>
      </c>
      <c r="ND84" s="99">
        <v>21.9083292682927</v>
      </c>
      <c r="NE84" s="99">
        <v>21.954414634146399</v>
      </c>
      <c r="NF84" s="99">
        <v>22.000499999999999</v>
      </c>
      <c r="NG84" s="99">
        <v>22.046585365853701</v>
      </c>
      <c r="NH84" s="99">
        <v>22.0926707317074</v>
      </c>
      <c r="NI84" s="99">
        <v>22.138756097561</v>
      </c>
      <c r="NJ84" s="99">
        <v>22.184841463414699</v>
      </c>
      <c r="NK84" s="99">
        <v>22.230926829268299</v>
      </c>
      <c r="NL84" s="99">
        <v>22.277012195122001</v>
      </c>
      <c r="NM84" s="99">
        <v>22.3230975609757</v>
      </c>
      <c r="NN84" s="99">
        <v>22.3691829268293</v>
      </c>
      <c r="NO84" s="99">
        <v>22.415268292682999</v>
      </c>
      <c r="NP84" s="99">
        <v>22.461353658536598</v>
      </c>
      <c r="NQ84" s="99">
        <v>22.507439024390301</v>
      </c>
      <c r="NR84" s="99">
        <v>22.553524390243901</v>
      </c>
      <c r="NS84" s="99">
        <v>22.5996097560976</v>
      </c>
      <c r="NT84" s="99">
        <v>22.645695121951299</v>
      </c>
      <c r="NU84" s="99">
        <v>22.691780487804898</v>
      </c>
      <c r="NV84" s="99">
        <v>22.737865853658601</v>
      </c>
      <c r="NW84" s="99">
        <v>22.7839512195122</v>
      </c>
      <c r="NX84" s="99">
        <v>22.8300365853659</v>
      </c>
      <c r="NY84" s="99">
        <v>22.876121951219599</v>
      </c>
      <c r="NZ84" s="99">
        <v>22.922207317073202</v>
      </c>
      <c r="OA84" s="99">
        <v>22.968292682926901</v>
      </c>
      <c r="OB84" s="99">
        <v>23.0143780487805</v>
      </c>
      <c r="OC84" s="99">
        <v>23.060463414634199</v>
      </c>
      <c r="OD84" s="99">
        <v>23.106548780487799</v>
      </c>
      <c r="OE84" s="99">
        <v>23.152634146341502</v>
      </c>
      <c r="OF84" s="99">
        <v>23.198719512195201</v>
      </c>
      <c r="OG84" s="99">
        <v>23.2448048780488</v>
      </c>
      <c r="OH84" s="99">
        <v>23.290890243902499</v>
      </c>
      <c r="OI84" s="99">
        <v>23.336975609756099</v>
      </c>
      <c r="OJ84" s="99">
        <v>23.383060975609801</v>
      </c>
      <c r="OK84" s="99">
        <v>23.4291463414635</v>
      </c>
      <c r="OL84" s="99">
        <v>23.4752317073171</v>
      </c>
      <c r="OM84" s="99">
        <v>23.521317073170799</v>
      </c>
      <c r="ON84" s="99">
        <v>23.567402439024399</v>
      </c>
      <c r="OO84" s="99">
        <v>23.613487804878101</v>
      </c>
      <c r="OP84" s="99">
        <v>23.659573170731701</v>
      </c>
      <c r="OQ84" s="99">
        <v>23.7056585365854</v>
      </c>
      <c r="OR84" s="99">
        <v>23.751743902439099</v>
      </c>
      <c r="OS84" s="99">
        <v>23.797829268292698</v>
      </c>
      <c r="OT84" s="99">
        <v>23.843914634146401</v>
      </c>
      <c r="OU84" s="99">
        <v>23.89</v>
      </c>
      <c r="OV84" s="99">
        <v>23.9360853658537</v>
      </c>
      <c r="OW84" s="99">
        <v>23.982170731707399</v>
      </c>
      <c r="OX84" s="99">
        <v>24.028256097560998</v>
      </c>
      <c r="OY84" s="99">
        <v>24.074341463414701</v>
      </c>
      <c r="OZ84" s="99">
        <v>24.1204268292683</v>
      </c>
      <c r="PA84" s="99">
        <v>24.166512195121999</v>
      </c>
      <c r="PB84" s="99">
        <v>24.212597560975698</v>
      </c>
      <c r="PC84" s="99">
        <v>24.258682926829302</v>
      </c>
      <c r="PD84" s="99">
        <v>24.304768292683001</v>
      </c>
      <c r="PE84" s="99">
        <v>24.3508536585366</v>
      </c>
      <c r="PF84" s="99">
        <v>24.396939024390299</v>
      </c>
      <c r="PG84" s="99">
        <v>24.443024390243899</v>
      </c>
      <c r="PH84" s="99">
        <v>24.489109756097601</v>
      </c>
      <c r="PI84" s="99">
        <v>24.5351951219513</v>
      </c>
      <c r="PJ84" s="99">
        <v>24.5812804878049</v>
      </c>
      <c r="PK84" s="99">
        <v>24.627365853658599</v>
      </c>
      <c r="PL84" s="99">
        <v>24.673451219512199</v>
      </c>
      <c r="PM84" s="99">
        <v>24.719536585365901</v>
      </c>
      <c r="PN84" s="99">
        <v>24.7656219512196</v>
      </c>
      <c r="PO84" s="99">
        <v>24.8117073170732</v>
      </c>
      <c r="PP84" s="99">
        <v>24.857792682926899</v>
      </c>
      <c r="PQ84" s="99">
        <v>24.903878048780498</v>
      </c>
      <c r="PR84" s="99">
        <v>24.949963414634201</v>
      </c>
      <c r="PS84" s="99">
        <v>24.996048780487801</v>
      </c>
      <c r="PT84" s="99">
        <v>25.0421341463415</v>
      </c>
      <c r="PU84" s="99">
        <v>25.088219512195199</v>
      </c>
      <c r="PV84" s="99">
        <v>25.134304878048798</v>
      </c>
      <c r="PW84" s="99">
        <v>25.180390243902501</v>
      </c>
      <c r="PX84" s="99">
        <v>25.2264756097561</v>
      </c>
      <c r="PY84" s="99">
        <v>25.2725609756098</v>
      </c>
      <c r="PZ84" s="99">
        <v>25.318646341463499</v>
      </c>
      <c r="QA84" s="99">
        <v>25.364731707317102</v>
      </c>
      <c r="QB84" s="99">
        <v>25.410817073170801</v>
      </c>
      <c r="QC84" s="99">
        <v>25.4569024390244</v>
      </c>
      <c r="QD84" s="99">
        <v>25.502987804878099</v>
      </c>
      <c r="QE84" s="99">
        <v>25.549073170731699</v>
      </c>
      <c r="QF84" s="99">
        <v>25.595158536585402</v>
      </c>
      <c r="QG84" s="99">
        <v>25.641243902439101</v>
      </c>
      <c r="QH84" s="99">
        <v>25.6873292682927</v>
      </c>
      <c r="QI84" s="99">
        <v>25.733414634146399</v>
      </c>
      <c r="QJ84" s="99">
        <v>25.779499999999999</v>
      </c>
      <c r="QK84" s="99">
        <v>25.825585365853701</v>
      </c>
      <c r="QL84" s="99">
        <v>25.8716707317074</v>
      </c>
      <c r="QM84" s="99">
        <v>25.917756097561</v>
      </c>
      <c r="QN84" s="99">
        <v>25.963841463414699</v>
      </c>
      <c r="QO84" s="99">
        <v>26.009926829268299</v>
      </c>
      <c r="QP84" s="99">
        <v>26.056012195122001</v>
      </c>
      <c r="QQ84" s="99">
        <v>26.1020975609757</v>
      </c>
      <c r="QR84" s="99">
        <v>26.1481829268293</v>
      </c>
      <c r="QS84" s="99">
        <v>26.194268292682999</v>
      </c>
      <c r="QT84" s="99">
        <v>26.240353658536598</v>
      </c>
      <c r="QU84" s="99">
        <v>26.286439024390301</v>
      </c>
      <c r="QV84" s="99">
        <v>26.332524390243901</v>
      </c>
      <c r="QW84" s="99">
        <v>26.3786097560976</v>
      </c>
      <c r="QX84" s="99">
        <v>26.424695121951299</v>
      </c>
      <c r="QY84" s="99">
        <v>26.470780487804898</v>
      </c>
      <c r="QZ84" s="99">
        <v>26.516865853658601</v>
      </c>
      <c r="RA84" s="99">
        <v>26.5629512195122</v>
      </c>
      <c r="RB84" s="99">
        <v>26.609036585365899</v>
      </c>
      <c r="RC84" s="99">
        <v>26.655121951219598</v>
      </c>
      <c r="RD84" s="99">
        <v>26.701207317073202</v>
      </c>
      <c r="RE84" s="99">
        <v>26.747292682926901</v>
      </c>
      <c r="RF84" s="99">
        <v>26.7933780487805</v>
      </c>
      <c r="RG84" s="99">
        <v>26.839463414634199</v>
      </c>
      <c r="RH84" s="99">
        <v>26.885548780487799</v>
      </c>
      <c r="RI84" s="99">
        <v>26.931634146341501</v>
      </c>
      <c r="RJ84" s="99">
        <v>26.9777195121952</v>
      </c>
      <c r="RK84" s="99">
        <v>27.0238048780488</v>
      </c>
      <c r="RL84" s="99">
        <v>27.069890243902499</v>
      </c>
      <c r="RM84" s="99">
        <v>27.115975609756099</v>
      </c>
      <c r="RN84" s="99">
        <v>27.162060975609801</v>
      </c>
      <c r="RO84" s="99">
        <v>27.2081463414635</v>
      </c>
      <c r="RP84" s="99">
        <v>27.2542317073171</v>
      </c>
      <c r="RQ84" s="99">
        <v>27.300317073170799</v>
      </c>
      <c r="RR84" s="99">
        <v>27.346402439024398</v>
      </c>
      <c r="RS84" s="99">
        <v>27.392487804878101</v>
      </c>
      <c r="RT84" s="99">
        <v>27.438573170731701</v>
      </c>
      <c r="RU84" s="99">
        <v>27.4846585365854</v>
      </c>
      <c r="RV84" s="99">
        <v>27.530743902439099</v>
      </c>
      <c r="RW84" s="99">
        <v>27.576829268292698</v>
      </c>
      <c r="RX84" s="99">
        <v>27.622914634146401</v>
      </c>
      <c r="RY84" s="99">
        <v>27.669</v>
      </c>
      <c r="RZ84" s="99">
        <v>27.7150853658537</v>
      </c>
      <c r="SA84" s="99">
        <v>27.761170731707399</v>
      </c>
      <c r="SB84" s="99">
        <v>27.807256097561002</v>
      </c>
      <c r="SC84" s="99">
        <v>27.853341463414701</v>
      </c>
      <c r="SD84" s="99">
        <v>27.8994268292683</v>
      </c>
      <c r="SE84" s="99">
        <v>27.945512195121999</v>
      </c>
      <c r="SF84" s="99">
        <v>27.991597560975698</v>
      </c>
      <c r="SG84" s="99">
        <v>28.037682926829302</v>
      </c>
      <c r="SH84" s="99">
        <v>28.083768292683001</v>
      </c>
      <c r="SI84" s="99">
        <v>28.1298536585366</v>
      </c>
      <c r="SJ84" s="99">
        <v>28.175939024390299</v>
      </c>
      <c r="SK84" s="99">
        <v>28.222024390243899</v>
      </c>
      <c r="SL84" s="99">
        <v>28.268109756097601</v>
      </c>
      <c r="SM84" s="99">
        <v>28.3141951219513</v>
      </c>
      <c r="SN84" s="99">
        <v>28.3602804878049</v>
      </c>
      <c r="SO84" s="99">
        <v>28.406365853658599</v>
      </c>
      <c r="SP84" s="99">
        <v>28.452451219512199</v>
      </c>
      <c r="SQ84" s="99">
        <v>28.498536585365901</v>
      </c>
      <c r="SR84" s="99">
        <v>28.5446219512196</v>
      </c>
      <c r="SS84" s="99">
        <v>28.5907073170732</v>
      </c>
      <c r="ST84" s="99">
        <v>28.636792682926899</v>
      </c>
      <c r="SU84" s="99">
        <v>28.682878048780498</v>
      </c>
      <c r="SV84" s="99">
        <v>28.728963414634201</v>
      </c>
      <c r="SW84" s="99">
        <v>28.775048780487801</v>
      </c>
      <c r="SX84" s="99">
        <v>28.8211341463415</v>
      </c>
      <c r="SY84" s="99">
        <v>28.867219512195199</v>
      </c>
      <c r="SZ84" s="99">
        <v>28.913304878048798</v>
      </c>
      <c r="TA84" s="99">
        <v>28.959390243902501</v>
      </c>
      <c r="TB84" s="99">
        <v>29.0054756097561</v>
      </c>
      <c r="TC84" s="99">
        <v>29.051560975609799</v>
      </c>
      <c r="TD84" s="99">
        <v>29.097646341463498</v>
      </c>
      <c r="TE84" s="99">
        <v>29.143731707317102</v>
      </c>
      <c r="TF84" s="99">
        <v>29.189817073170801</v>
      </c>
      <c r="TG84" s="99">
        <v>29.2359024390244</v>
      </c>
      <c r="TH84" s="99">
        <v>29.281987804878099</v>
      </c>
      <c r="TI84" s="99">
        <v>29.328073170731699</v>
      </c>
      <c r="TJ84" s="99">
        <v>29.374158536585401</v>
      </c>
      <c r="TK84" s="99">
        <v>29.4202439024391</v>
      </c>
      <c r="TL84" s="99">
        <v>29.4663292682927</v>
      </c>
      <c r="TM84" s="99">
        <v>29.512414634146399</v>
      </c>
      <c r="TN84" s="99">
        <v>29.558499999999999</v>
      </c>
      <c r="TO84" s="99">
        <v>29.604585365853701</v>
      </c>
      <c r="TP84" s="99">
        <v>29.6506707317074</v>
      </c>
      <c r="TQ84" s="99">
        <v>29.696756097561</v>
      </c>
      <c r="TR84" s="99">
        <v>29.742841463414699</v>
      </c>
      <c r="TS84" s="99">
        <v>29.788926829268298</v>
      </c>
      <c r="TT84" s="99">
        <v>29.835012195122001</v>
      </c>
      <c r="TU84" s="99">
        <v>29.8810975609757</v>
      </c>
      <c r="TV84" s="99">
        <v>29.9271829268293</v>
      </c>
      <c r="TW84" s="99">
        <v>29.973268292682999</v>
      </c>
      <c r="TX84" s="99">
        <v>30.019353658536598</v>
      </c>
      <c r="TY84" s="99">
        <v>30.065439024390301</v>
      </c>
      <c r="TZ84" s="99">
        <v>30.1115243902439</v>
      </c>
      <c r="UA84" s="99">
        <v>30.1576097560976</v>
      </c>
      <c r="UB84" s="99">
        <v>30.203695121951299</v>
      </c>
      <c r="UC84" s="99">
        <v>30.249780487804902</v>
      </c>
      <c r="UD84" s="99">
        <v>30.295865853658601</v>
      </c>
      <c r="UE84" s="99">
        <v>30.3419512195122</v>
      </c>
      <c r="UF84" s="99">
        <v>30.388036585365899</v>
      </c>
      <c r="UG84" s="99">
        <v>30.434121951219598</v>
      </c>
      <c r="UH84" s="99">
        <v>30.480207317073202</v>
      </c>
      <c r="UI84" s="99">
        <v>30.526292682926901</v>
      </c>
      <c r="UJ84" s="99">
        <v>30.5723780487805</v>
      </c>
      <c r="UK84" s="99">
        <v>30.618463414634199</v>
      </c>
      <c r="UL84" s="99">
        <v>30.664548780487799</v>
      </c>
      <c r="UM84" s="99">
        <v>30.710634146341501</v>
      </c>
      <c r="UN84" s="99">
        <v>30.7567195121952</v>
      </c>
      <c r="UO84" s="99">
        <v>30.8028048780488</v>
      </c>
      <c r="UP84" s="99">
        <v>30.848890243902499</v>
      </c>
      <c r="UQ84" s="99">
        <v>30.894975609756099</v>
      </c>
      <c r="UR84" s="99">
        <v>30.941060975609801</v>
      </c>
      <c r="US84" s="99">
        <v>30.9871463414635</v>
      </c>
      <c r="UT84" s="99">
        <v>31.033231707317199</v>
      </c>
    </row>
    <row r="85" spans="1:566" x14ac:dyDescent="0.2">
      <c r="A85" s="89">
        <v>39.5</v>
      </c>
      <c r="B85" s="90">
        <v>5</v>
      </c>
      <c r="C85" s="90">
        <v>5.05</v>
      </c>
      <c r="D85" s="90">
        <v>5.09</v>
      </c>
      <c r="E85" s="90">
        <v>5.14</v>
      </c>
      <c r="F85" s="90">
        <v>5.18</v>
      </c>
      <c r="G85" s="90">
        <v>5.23</v>
      </c>
      <c r="H85" s="90">
        <v>5.27</v>
      </c>
      <c r="I85" s="90">
        <v>5.32</v>
      </c>
      <c r="J85" s="90">
        <v>5.37</v>
      </c>
      <c r="K85" s="90">
        <v>5.41</v>
      </c>
      <c r="L85" s="90">
        <v>5.46</v>
      </c>
      <c r="M85" s="90">
        <v>5.5</v>
      </c>
      <c r="N85" s="90">
        <v>5.55</v>
      </c>
      <c r="O85" s="90">
        <v>5.59</v>
      </c>
      <c r="P85" s="90">
        <v>5.64</v>
      </c>
      <c r="Q85" s="90">
        <v>5.69</v>
      </c>
      <c r="R85" s="90">
        <v>5.73</v>
      </c>
      <c r="S85" s="90">
        <v>5.78</v>
      </c>
      <c r="T85" s="90">
        <v>5.82</v>
      </c>
      <c r="U85" s="91">
        <v>5.87</v>
      </c>
      <c r="V85" s="90">
        <v>5.91</v>
      </c>
      <c r="W85" s="90">
        <v>5.96</v>
      </c>
      <c r="X85" s="90">
        <v>6.01</v>
      </c>
      <c r="Y85" s="90">
        <v>6.05</v>
      </c>
      <c r="Z85" s="90">
        <v>6.1</v>
      </c>
      <c r="AA85" s="90">
        <v>6.14</v>
      </c>
      <c r="AB85" s="90">
        <v>6.19</v>
      </c>
      <c r="AC85" s="90">
        <v>6.23</v>
      </c>
      <c r="AD85" s="90">
        <v>6.28</v>
      </c>
      <c r="AE85" s="90">
        <v>6.33</v>
      </c>
      <c r="AF85" s="90">
        <v>6.37</v>
      </c>
      <c r="AG85" s="90">
        <v>6.42</v>
      </c>
      <c r="AH85" s="90">
        <v>6.46</v>
      </c>
      <c r="AI85" s="90">
        <v>6.51</v>
      </c>
      <c r="AJ85" s="90">
        <v>6.56</v>
      </c>
      <c r="AK85" s="90">
        <v>6.6</v>
      </c>
      <c r="AL85" s="90">
        <v>6.65</v>
      </c>
      <c r="AM85" s="90">
        <v>6.69</v>
      </c>
      <c r="AN85" s="90">
        <v>6.74</v>
      </c>
      <c r="AO85" s="91">
        <v>6.78</v>
      </c>
      <c r="AP85" s="90">
        <v>6.8292307692307697</v>
      </c>
      <c r="AQ85" s="90">
        <v>6.8749615384615401</v>
      </c>
      <c r="AR85" s="90">
        <v>6.9206923076923097</v>
      </c>
      <c r="AS85" s="90">
        <v>6.9664230769230802</v>
      </c>
      <c r="AT85" s="90">
        <v>7.0121538461538497</v>
      </c>
      <c r="AU85" s="90">
        <v>7.0578846153846202</v>
      </c>
      <c r="AV85" s="90">
        <v>7.10361538461538</v>
      </c>
      <c r="AW85" s="90">
        <v>7.1493461538461496</v>
      </c>
      <c r="AX85" s="90">
        <v>7.19507692307692</v>
      </c>
      <c r="AY85" s="90">
        <v>7.2408076923076896</v>
      </c>
      <c r="AZ85" s="90">
        <v>7.2865384615384601</v>
      </c>
      <c r="BA85" s="90">
        <v>7.3322692307692297</v>
      </c>
      <c r="BB85" s="90">
        <v>7.3780000000000001</v>
      </c>
      <c r="BC85" s="90">
        <v>7.4237307692307697</v>
      </c>
      <c r="BD85" s="90">
        <v>7.4694615384615402</v>
      </c>
      <c r="BE85" s="90">
        <v>7.5151923076923097</v>
      </c>
      <c r="BF85" s="90">
        <v>7.5609230769230802</v>
      </c>
      <c r="BG85" s="90">
        <v>7.6066538461538498</v>
      </c>
      <c r="BH85" s="90">
        <v>7.6523846153846202</v>
      </c>
      <c r="BI85" s="91">
        <v>7.69811538461538</v>
      </c>
      <c r="BJ85" s="90">
        <v>7.7438461538461496</v>
      </c>
      <c r="BK85" s="99">
        <v>7.7895769230769201</v>
      </c>
      <c r="BL85" s="99">
        <v>7.8353076923076896</v>
      </c>
      <c r="BM85" s="99">
        <v>7.8810384615384601</v>
      </c>
      <c r="BN85" s="99">
        <v>7.9267692307692297</v>
      </c>
      <c r="BO85" s="99">
        <v>7.9725000000000001</v>
      </c>
      <c r="BP85" s="99">
        <v>8.0182307692307706</v>
      </c>
      <c r="BQ85" s="99">
        <v>8.0639615384615393</v>
      </c>
      <c r="BR85" s="99">
        <v>8.1096923076923098</v>
      </c>
      <c r="BS85" s="99">
        <v>8.1554230769230802</v>
      </c>
      <c r="BT85" s="99">
        <v>8.2011538461538507</v>
      </c>
      <c r="BU85" s="99">
        <v>8.2468846153846194</v>
      </c>
      <c r="BV85" s="99">
        <v>8.2926153846153792</v>
      </c>
      <c r="BW85" s="99">
        <v>8.3383461538461496</v>
      </c>
      <c r="BX85" s="99">
        <v>8.3840769230769201</v>
      </c>
      <c r="BY85" s="99">
        <v>8.4298076923076906</v>
      </c>
      <c r="BZ85" s="99">
        <v>8.4755384615384592</v>
      </c>
      <c r="CA85" s="99">
        <v>8.5212692307692297</v>
      </c>
      <c r="CB85" s="99">
        <v>8.5670000000000002</v>
      </c>
      <c r="CC85" s="99">
        <v>8.6127307692307706</v>
      </c>
      <c r="CD85" s="99">
        <v>8.6584615384615393</v>
      </c>
      <c r="CE85" s="99">
        <v>8.7041923076923098</v>
      </c>
      <c r="CF85" s="99">
        <v>8.7499230769230802</v>
      </c>
      <c r="CG85" s="99">
        <v>8.7956538461538507</v>
      </c>
      <c r="CH85" s="99">
        <v>8.8413846153846105</v>
      </c>
      <c r="CI85" s="99">
        <v>8.8871153846153792</v>
      </c>
      <c r="CJ85" s="99">
        <v>8.9328461538461497</v>
      </c>
      <c r="CK85" s="99">
        <v>8.9785769230769201</v>
      </c>
      <c r="CL85" s="99">
        <v>9.0243076923076906</v>
      </c>
      <c r="CM85" s="99">
        <v>9.0700384615384593</v>
      </c>
      <c r="CN85" s="99">
        <v>9.1157692307692297</v>
      </c>
      <c r="CO85" s="99">
        <v>9.1615000000000002</v>
      </c>
      <c r="CP85" s="99">
        <v>9.2072307692307707</v>
      </c>
      <c r="CQ85" s="99">
        <v>9.2529615384615393</v>
      </c>
      <c r="CR85" s="99">
        <v>9.2986923076923098</v>
      </c>
      <c r="CS85" s="99">
        <v>9.3444230769230803</v>
      </c>
      <c r="CT85" s="99">
        <v>9.3901538461538507</v>
      </c>
      <c r="CU85" s="99">
        <v>9.4358846153846105</v>
      </c>
      <c r="CV85" s="99">
        <v>9.4816153846153792</v>
      </c>
      <c r="CW85" s="99">
        <v>9.5273461538461497</v>
      </c>
      <c r="CX85" s="99">
        <v>9.5730769230769202</v>
      </c>
      <c r="CY85" s="99">
        <v>9.6188076923076906</v>
      </c>
      <c r="CZ85" s="99">
        <v>9.6645384615384593</v>
      </c>
      <c r="DA85" s="99">
        <v>9.7102692307692298</v>
      </c>
      <c r="DB85" s="99">
        <v>9.7560000000000002</v>
      </c>
      <c r="DC85" s="99">
        <v>9.8017307692307707</v>
      </c>
      <c r="DD85" s="99">
        <v>9.8474615384615394</v>
      </c>
      <c r="DE85" s="99">
        <v>9.8931923076923098</v>
      </c>
      <c r="DF85" s="99">
        <v>9.9389230769230803</v>
      </c>
      <c r="DG85" s="99">
        <v>9.9846538461538508</v>
      </c>
      <c r="DH85" s="99">
        <v>10.0303846153846</v>
      </c>
      <c r="DI85" s="99">
        <v>10.076115384615401</v>
      </c>
      <c r="DJ85" s="99">
        <v>10.1218461538461</v>
      </c>
      <c r="DK85" s="99">
        <v>10.167576923076901</v>
      </c>
      <c r="DL85" s="99">
        <v>10.2133076923077</v>
      </c>
      <c r="DM85" s="99">
        <v>10.2590384615385</v>
      </c>
      <c r="DN85" s="99">
        <v>10.3047692307692</v>
      </c>
      <c r="DO85" s="99">
        <v>10.3505</v>
      </c>
      <c r="DP85" s="99">
        <v>10.396230769230799</v>
      </c>
      <c r="DQ85" s="99">
        <v>10.4419615384615</v>
      </c>
      <c r="DR85" s="99">
        <v>10.487692307692299</v>
      </c>
      <c r="DS85" s="99">
        <v>10.5334230769231</v>
      </c>
      <c r="DT85" s="99">
        <v>10.579153846153901</v>
      </c>
      <c r="DU85" s="99">
        <v>10.6248846153846</v>
      </c>
      <c r="DV85" s="99">
        <v>10.670615384615401</v>
      </c>
      <c r="DW85" s="99">
        <v>10.7163461538461</v>
      </c>
      <c r="DX85" s="99">
        <v>10.762076923076901</v>
      </c>
      <c r="DY85" s="99">
        <v>10.8078076923077</v>
      </c>
      <c r="DZ85" s="99">
        <v>10.8535384615385</v>
      </c>
      <c r="EA85" s="99">
        <v>10.8992692307692</v>
      </c>
      <c r="EB85" s="99">
        <v>10.945</v>
      </c>
      <c r="EC85" s="99">
        <v>10.990730769230799</v>
      </c>
      <c r="ED85" s="99">
        <v>11.0364615384615</v>
      </c>
      <c r="EE85" s="99">
        <v>11.082192307692299</v>
      </c>
      <c r="EF85" s="99">
        <v>11.1279230769231</v>
      </c>
      <c r="EG85" s="99">
        <v>11.173653846153901</v>
      </c>
      <c r="EH85" s="99">
        <v>11.2193846153846</v>
      </c>
      <c r="EI85" s="99">
        <v>11.265115384615401</v>
      </c>
      <c r="EJ85" s="99">
        <v>11.3108461538461</v>
      </c>
      <c r="EK85" s="99">
        <v>11.356576923076901</v>
      </c>
      <c r="EL85" s="99">
        <v>11.4023076923077</v>
      </c>
      <c r="EM85" s="99">
        <v>11.4480384615385</v>
      </c>
      <c r="EN85" s="99">
        <v>11.4937692307692</v>
      </c>
      <c r="EO85" s="99">
        <v>11.5395</v>
      </c>
      <c r="EP85" s="99">
        <v>11.585230769230799</v>
      </c>
      <c r="EQ85" s="99">
        <v>11.6309615384615</v>
      </c>
      <c r="ER85" s="99">
        <v>11.676692307692299</v>
      </c>
      <c r="ES85" s="99">
        <v>11.7224230769231</v>
      </c>
      <c r="ET85" s="99">
        <v>11.768153846153901</v>
      </c>
      <c r="EU85" s="99">
        <v>11.8138846153846</v>
      </c>
      <c r="EV85" s="99">
        <v>11.859615384615401</v>
      </c>
      <c r="EW85" s="99">
        <v>11.9053461538461</v>
      </c>
      <c r="EX85" s="99">
        <v>11.951076923076901</v>
      </c>
      <c r="EY85" s="99">
        <v>11.9968076923077</v>
      </c>
      <c r="EZ85" s="99">
        <v>12.0425384615385</v>
      </c>
      <c r="FA85" s="99">
        <v>12.0882692307692</v>
      </c>
      <c r="FB85" s="99">
        <v>12.134</v>
      </c>
      <c r="FC85" s="99">
        <v>12.179730769230799</v>
      </c>
      <c r="FD85" s="99">
        <v>12.2254615384615</v>
      </c>
      <c r="FE85" s="99">
        <v>12.271192307692299</v>
      </c>
      <c r="FF85" s="99">
        <v>12.3169230769231</v>
      </c>
      <c r="FG85" s="99">
        <v>12.362653846153901</v>
      </c>
      <c r="FH85" s="99">
        <v>12.4083846153846</v>
      </c>
      <c r="FI85" s="99">
        <v>12.454115384615401</v>
      </c>
      <c r="FJ85" s="99">
        <v>12.4998461538461</v>
      </c>
      <c r="FK85" s="99">
        <v>12.545576923076901</v>
      </c>
      <c r="FL85" s="99">
        <v>12.5913076923077</v>
      </c>
      <c r="FM85" s="99">
        <v>12.6370384615385</v>
      </c>
      <c r="FN85" s="99">
        <v>12.6827692307692</v>
      </c>
      <c r="FO85" s="99">
        <v>12.7285</v>
      </c>
      <c r="FP85" s="99">
        <v>12.774230769230799</v>
      </c>
      <c r="FQ85" s="99">
        <v>12.8199615384615</v>
      </c>
      <c r="FR85" s="99">
        <v>12.865692307692299</v>
      </c>
      <c r="FS85" s="99">
        <v>12.9114230769231</v>
      </c>
      <c r="FT85" s="99">
        <v>12.957153846153901</v>
      </c>
      <c r="FU85" s="99">
        <v>13.0028846153846</v>
      </c>
      <c r="FV85" s="99">
        <v>13.048615384615401</v>
      </c>
      <c r="FW85" s="99">
        <v>13.0943461538461</v>
      </c>
      <c r="FX85" s="99">
        <v>13.140076923076901</v>
      </c>
      <c r="FY85" s="99">
        <v>13.1858076923077</v>
      </c>
      <c r="FZ85" s="99">
        <v>13.2315384615385</v>
      </c>
      <c r="GA85" s="99">
        <v>13.2772692307692</v>
      </c>
      <c r="GB85" s="99">
        <v>13.323</v>
      </c>
      <c r="GC85" s="99">
        <v>13.368730769230799</v>
      </c>
      <c r="GD85" s="99">
        <v>13.4144615384615</v>
      </c>
      <c r="GE85" s="99">
        <v>13.460192307692299</v>
      </c>
      <c r="GF85" s="99">
        <v>13.5059230769231</v>
      </c>
      <c r="GG85" s="99">
        <v>13.551653846153901</v>
      </c>
      <c r="GH85" s="99">
        <v>13.5973846153846</v>
      </c>
      <c r="GI85" s="99">
        <v>13.643115384615401</v>
      </c>
      <c r="GJ85" s="99">
        <v>13.6888461538461</v>
      </c>
      <c r="GK85" s="99">
        <v>13.734576923076901</v>
      </c>
      <c r="GL85" s="99">
        <v>13.7803076923077</v>
      </c>
      <c r="GM85" s="99">
        <v>13.8260384615385</v>
      </c>
      <c r="GN85" s="99">
        <v>13.8717692307692</v>
      </c>
      <c r="GO85" s="99">
        <v>13.9175</v>
      </c>
      <c r="GP85" s="99">
        <v>13.963230769230799</v>
      </c>
      <c r="GQ85" s="99">
        <v>14.0089615384615</v>
      </c>
      <c r="GR85" s="99">
        <v>14.054692307692299</v>
      </c>
      <c r="GS85" s="99">
        <v>14.1004230769231</v>
      </c>
      <c r="GT85" s="99">
        <v>14.146153846153901</v>
      </c>
      <c r="GU85" s="99">
        <v>14.1918846153846</v>
      </c>
      <c r="GV85" s="99">
        <v>14.237615384615401</v>
      </c>
      <c r="GW85" s="99">
        <v>14.2833461538461</v>
      </c>
      <c r="GX85" s="99">
        <v>14.329076923076901</v>
      </c>
      <c r="GY85" s="99">
        <v>14.3748076923077</v>
      </c>
      <c r="GZ85" s="99">
        <v>14.4205384615385</v>
      </c>
      <c r="HA85" s="99">
        <v>14.4662692307692</v>
      </c>
      <c r="HB85" s="99">
        <v>14.512</v>
      </c>
      <c r="HC85" s="99">
        <v>14.557730769230799</v>
      </c>
      <c r="HD85" s="99">
        <v>14.603461538461501</v>
      </c>
      <c r="HE85" s="99">
        <v>14.649192307692299</v>
      </c>
      <c r="HF85" s="99">
        <v>14.6949230769231</v>
      </c>
      <c r="HG85" s="99">
        <v>14.740653846153901</v>
      </c>
      <c r="HH85" s="99">
        <v>14.7863846153846</v>
      </c>
      <c r="HI85" s="99">
        <v>14.832115384615401</v>
      </c>
      <c r="HJ85" s="99">
        <v>14.8778461538461</v>
      </c>
      <c r="HK85" s="99">
        <v>14.923576923076901</v>
      </c>
      <c r="HL85" s="99">
        <v>14.9693076923077</v>
      </c>
      <c r="HM85" s="99">
        <v>15.0150384615385</v>
      </c>
      <c r="HN85" s="99">
        <v>15.0607692307692</v>
      </c>
      <c r="HO85" s="99">
        <v>15.1065</v>
      </c>
      <c r="HP85" s="99">
        <v>15.152230769230799</v>
      </c>
      <c r="HQ85" s="99">
        <v>15.197961538461501</v>
      </c>
      <c r="HR85" s="99">
        <v>15.243692307692299</v>
      </c>
      <c r="HS85" s="99">
        <v>15.2894230769231</v>
      </c>
      <c r="HT85" s="99">
        <v>15.3351538461538</v>
      </c>
      <c r="HU85" s="99">
        <v>15.3808846153846</v>
      </c>
      <c r="HV85" s="99">
        <v>15.426615384615401</v>
      </c>
      <c r="HW85" s="99">
        <v>15.4723461538462</v>
      </c>
      <c r="HX85" s="99">
        <v>15.518076923076899</v>
      </c>
      <c r="HY85" s="99">
        <v>15.5638076923077</v>
      </c>
      <c r="HZ85" s="99">
        <v>15.6095384615385</v>
      </c>
      <c r="IA85" s="99">
        <v>15.6552692307692</v>
      </c>
      <c r="IB85" s="99">
        <v>15.701000000000001</v>
      </c>
      <c r="IC85" s="99">
        <v>15.746730769230799</v>
      </c>
      <c r="ID85" s="99">
        <v>15.792461538461501</v>
      </c>
      <c r="IE85" s="99">
        <v>15.838192307692299</v>
      </c>
      <c r="IF85" s="99">
        <v>15.8839230769231</v>
      </c>
      <c r="IG85" s="99">
        <v>15.9296538461538</v>
      </c>
      <c r="IH85" s="99">
        <v>15.9753846153846</v>
      </c>
      <c r="II85" s="99">
        <v>16.021115384615399</v>
      </c>
      <c r="IJ85" s="99">
        <v>16.0668461538462</v>
      </c>
      <c r="IK85" s="99">
        <v>16.112576923076901</v>
      </c>
      <c r="IL85" s="99">
        <v>16.158307692307702</v>
      </c>
      <c r="IM85" s="99">
        <v>16.204038461538499</v>
      </c>
      <c r="IN85" s="99">
        <v>16.2497692307692</v>
      </c>
      <c r="IO85" s="99">
        <v>16.295500000000001</v>
      </c>
      <c r="IP85" s="99">
        <v>16.341230769230801</v>
      </c>
      <c r="IQ85" s="99">
        <v>16.386961538461499</v>
      </c>
      <c r="IR85" s="99">
        <v>16.432692307692299</v>
      </c>
      <c r="IS85" s="99">
        <v>16.4784230769231</v>
      </c>
      <c r="IT85" s="99">
        <v>16.524153846153801</v>
      </c>
      <c r="IU85" s="99">
        <v>16.569884615384598</v>
      </c>
      <c r="IV85" s="99">
        <v>16.615615384615399</v>
      </c>
      <c r="IW85" s="99">
        <v>16.6613461538462</v>
      </c>
      <c r="IX85" s="99">
        <v>16.707076923076901</v>
      </c>
      <c r="IY85" s="99">
        <v>16.752807692307702</v>
      </c>
      <c r="IZ85" s="99">
        <v>16.798538461538499</v>
      </c>
      <c r="JA85" s="99">
        <v>16.8442692307692</v>
      </c>
      <c r="JB85" s="99">
        <v>16.89</v>
      </c>
      <c r="JC85" s="99">
        <v>16.935730769230801</v>
      </c>
      <c r="JD85" s="99">
        <v>16.981461538461499</v>
      </c>
      <c r="JE85" s="99">
        <v>17.0271923076923</v>
      </c>
      <c r="JF85" s="99">
        <v>17.0729230769231</v>
      </c>
      <c r="JG85" s="99">
        <v>17.118653846153801</v>
      </c>
      <c r="JH85" s="99">
        <v>17.164384615384598</v>
      </c>
      <c r="JI85" s="99">
        <v>17.210115384615399</v>
      </c>
      <c r="JJ85" s="99">
        <v>17.2558461538462</v>
      </c>
      <c r="JK85" s="99">
        <v>17.301576923076901</v>
      </c>
      <c r="JL85" s="99">
        <v>17.347307692307702</v>
      </c>
      <c r="JM85" s="99">
        <v>17.393038461538499</v>
      </c>
      <c r="JN85" s="99">
        <v>17.4387692307692</v>
      </c>
      <c r="JO85" s="99">
        <v>17.484500000000001</v>
      </c>
      <c r="JP85" s="99">
        <v>17.530230769230801</v>
      </c>
      <c r="JQ85" s="99">
        <v>17.575961538461499</v>
      </c>
      <c r="JR85" s="99">
        <v>17.6216923076923</v>
      </c>
      <c r="JS85" s="99">
        <v>17.6674230769231</v>
      </c>
      <c r="JT85" s="99">
        <v>17.713153846153801</v>
      </c>
      <c r="JU85" s="99">
        <v>17.758884615384599</v>
      </c>
      <c r="JV85" s="99">
        <v>17.804615384615399</v>
      </c>
      <c r="JW85" s="99">
        <v>17.8503461538462</v>
      </c>
      <c r="JX85" s="99">
        <v>17.896076923076901</v>
      </c>
      <c r="JY85" s="99">
        <v>17.941807692307702</v>
      </c>
      <c r="JZ85" s="99">
        <v>17.987538461538499</v>
      </c>
      <c r="KA85" s="99">
        <v>18.0332692307692</v>
      </c>
      <c r="KB85" s="99">
        <v>18.079000000000001</v>
      </c>
      <c r="KC85" s="99">
        <v>18.124730769230801</v>
      </c>
      <c r="KD85" s="99">
        <v>18.170461538461499</v>
      </c>
      <c r="KE85" s="99">
        <v>18.2161923076923</v>
      </c>
      <c r="KF85" s="99">
        <v>18.2619230769231</v>
      </c>
      <c r="KG85" s="99">
        <v>18.307653846153801</v>
      </c>
      <c r="KH85" s="99">
        <v>18.353384615384599</v>
      </c>
      <c r="KI85" s="99">
        <v>18.399115384615399</v>
      </c>
      <c r="KJ85" s="99">
        <v>18.4448461538462</v>
      </c>
      <c r="KK85" s="99">
        <v>18.490576923076901</v>
      </c>
      <c r="KL85" s="99">
        <v>18.536307692307702</v>
      </c>
      <c r="KM85" s="99">
        <v>18.582038461538499</v>
      </c>
      <c r="KN85" s="99">
        <v>18.6277692307692</v>
      </c>
      <c r="KO85" s="99">
        <v>18.673500000000001</v>
      </c>
      <c r="KP85" s="99">
        <v>18.719230769230801</v>
      </c>
      <c r="KQ85" s="99">
        <v>18.764961538461499</v>
      </c>
      <c r="KR85" s="99">
        <v>18.8106923076923</v>
      </c>
      <c r="KS85" s="99">
        <v>18.8564230769231</v>
      </c>
      <c r="KT85" s="99">
        <v>18.902153846153801</v>
      </c>
      <c r="KU85" s="99">
        <v>18.947884615384599</v>
      </c>
      <c r="KV85" s="99">
        <v>18.993615384615399</v>
      </c>
      <c r="KW85" s="99">
        <v>19.0393461538462</v>
      </c>
      <c r="KX85" s="99">
        <v>19.085076923076901</v>
      </c>
      <c r="KY85" s="99">
        <v>19.130807692307702</v>
      </c>
      <c r="KZ85" s="99">
        <v>19.176538461538499</v>
      </c>
      <c r="LA85" s="99">
        <v>19.2222692307692</v>
      </c>
      <c r="LB85" s="99">
        <v>19.268000000000001</v>
      </c>
      <c r="LC85" s="99">
        <v>19.313730769230801</v>
      </c>
      <c r="LD85" s="99">
        <v>19.359461538461499</v>
      </c>
      <c r="LE85" s="99">
        <v>19.4051923076923</v>
      </c>
      <c r="LF85" s="99">
        <v>19.4509230769231</v>
      </c>
      <c r="LG85" s="99">
        <v>19.496653846153801</v>
      </c>
      <c r="LH85" s="99">
        <v>19.542384615384599</v>
      </c>
      <c r="LI85" s="99">
        <v>19.588115384615399</v>
      </c>
      <c r="LJ85" s="99">
        <v>19.6338461538462</v>
      </c>
      <c r="LK85" s="99">
        <v>19.679576923076901</v>
      </c>
      <c r="LL85" s="99">
        <v>19.725307692307702</v>
      </c>
      <c r="LM85" s="99">
        <v>19.771038461538499</v>
      </c>
      <c r="LN85" s="99">
        <v>19.8167692307692</v>
      </c>
      <c r="LO85" s="99">
        <v>19.862500000000001</v>
      </c>
      <c r="LP85" s="99">
        <v>19.908230769230801</v>
      </c>
      <c r="LQ85" s="99">
        <v>19.953961538461499</v>
      </c>
      <c r="LR85" s="99">
        <v>19.9996923076923</v>
      </c>
      <c r="LS85" s="99">
        <v>20.0454230769231</v>
      </c>
      <c r="LT85" s="99">
        <v>20.091153846153802</v>
      </c>
      <c r="LU85" s="99">
        <v>20.136884615384599</v>
      </c>
      <c r="LV85" s="99">
        <v>20.182615384615399</v>
      </c>
      <c r="LW85" s="99">
        <v>20.2283461538462</v>
      </c>
      <c r="LX85" s="99">
        <v>20.274076923076901</v>
      </c>
      <c r="LY85" s="99">
        <v>20.319807692307698</v>
      </c>
      <c r="LZ85" s="99">
        <v>20.365538461538499</v>
      </c>
      <c r="MA85" s="99">
        <v>20.4112692307692</v>
      </c>
      <c r="MB85" s="99">
        <v>20.457000000000001</v>
      </c>
      <c r="MC85" s="99">
        <v>20.502730769230801</v>
      </c>
      <c r="MD85" s="99">
        <v>20.548461538461499</v>
      </c>
      <c r="ME85" s="99">
        <v>20.5941923076923</v>
      </c>
      <c r="MF85" s="99">
        <v>20.6399230769231</v>
      </c>
      <c r="MG85" s="99">
        <v>20.685653846153802</v>
      </c>
      <c r="MH85" s="99">
        <v>20.731384615384599</v>
      </c>
      <c r="MI85" s="99">
        <v>20.777115384615399</v>
      </c>
      <c r="MJ85" s="99">
        <v>20.8228461538462</v>
      </c>
      <c r="MK85" s="99">
        <v>20.868576923076901</v>
      </c>
      <c r="ML85" s="99">
        <v>20.914307692307698</v>
      </c>
      <c r="MM85" s="99">
        <v>20.960038461538499</v>
      </c>
      <c r="MN85" s="99">
        <v>21.0057692307692</v>
      </c>
      <c r="MO85" s="99">
        <v>21.051500000000001</v>
      </c>
      <c r="MP85" s="99">
        <v>21.097230769230801</v>
      </c>
      <c r="MQ85" s="99">
        <v>21.142961538461499</v>
      </c>
      <c r="MR85" s="99">
        <v>21.1886923076923</v>
      </c>
      <c r="MS85" s="99">
        <v>21.2344230769231</v>
      </c>
      <c r="MT85" s="99">
        <v>21.280153846153802</v>
      </c>
      <c r="MU85" s="99">
        <v>21.325884615384599</v>
      </c>
      <c r="MV85" s="99">
        <v>21.371615384615399</v>
      </c>
      <c r="MW85" s="99">
        <v>21.4173461538462</v>
      </c>
      <c r="MX85" s="99">
        <v>21.463076923076901</v>
      </c>
      <c r="MY85" s="99">
        <v>21.508807692307698</v>
      </c>
      <c r="MZ85" s="99">
        <v>21.554538461538499</v>
      </c>
      <c r="NA85" s="99">
        <v>21.6002692307692</v>
      </c>
      <c r="NB85" s="99">
        <v>21.646000000000001</v>
      </c>
      <c r="NC85" s="99">
        <v>21.691730769230801</v>
      </c>
      <c r="ND85" s="99">
        <v>21.737461538461499</v>
      </c>
      <c r="NE85" s="99">
        <v>21.7831923076923</v>
      </c>
      <c r="NF85" s="99">
        <v>21.8289230769231</v>
      </c>
      <c r="NG85" s="99">
        <v>21.874653846153802</v>
      </c>
      <c r="NH85" s="99">
        <v>21.920384615384599</v>
      </c>
      <c r="NI85" s="99">
        <v>21.966115384615399</v>
      </c>
      <c r="NJ85" s="99">
        <v>22.0118461538462</v>
      </c>
      <c r="NK85" s="99">
        <v>22.057576923076901</v>
      </c>
      <c r="NL85" s="99">
        <v>22.103307692307698</v>
      </c>
      <c r="NM85" s="99">
        <v>22.149038461538499</v>
      </c>
      <c r="NN85" s="99">
        <v>22.1947692307692</v>
      </c>
      <c r="NO85" s="99">
        <v>22.240500000000001</v>
      </c>
      <c r="NP85" s="99">
        <v>22.286230769230801</v>
      </c>
      <c r="NQ85" s="99">
        <v>22.331961538461499</v>
      </c>
      <c r="NR85" s="99">
        <v>22.3776923076923</v>
      </c>
      <c r="NS85" s="99">
        <v>22.4234230769231</v>
      </c>
      <c r="NT85" s="99">
        <v>22.469153846153802</v>
      </c>
      <c r="NU85" s="99">
        <v>22.514884615384599</v>
      </c>
      <c r="NV85" s="99">
        <v>22.560615384615399</v>
      </c>
      <c r="NW85" s="99">
        <v>22.6063461538462</v>
      </c>
      <c r="NX85" s="99">
        <v>22.652076923076901</v>
      </c>
      <c r="NY85" s="99">
        <v>22.697807692307698</v>
      </c>
      <c r="NZ85" s="99">
        <v>22.743538461538499</v>
      </c>
      <c r="OA85" s="99">
        <v>22.7892692307692</v>
      </c>
      <c r="OB85" s="99">
        <v>22.835000000000001</v>
      </c>
      <c r="OC85" s="99">
        <v>22.880730769230802</v>
      </c>
      <c r="OD85" s="99">
        <v>22.926461538461499</v>
      </c>
      <c r="OE85" s="99">
        <v>22.9721923076923</v>
      </c>
      <c r="OF85" s="99">
        <v>23.0179230769231</v>
      </c>
      <c r="OG85" s="99">
        <v>23.063653846153802</v>
      </c>
      <c r="OH85" s="99">
        <v>23.109384615384599</v>
      </c>
      <c r="OI85" s="99">
        <v>23.155115384615399</v>
      </c>
      <c r="OJ85" s="99">
        <v>23.2008461538462</v>
      </c>
      <c r="OK85" s="99">
        <v>23.246576923076901</v>
      </c>
      <c r="OL85" s="99">
        <v>23.292307692307698</v>
      </c>
      <c r="OM85" s="99">
        <v>23.338038461538499</v>
      </c>
      <c r="ON85" s="99">
        <v>23.3837692307692</v>
      </c>
      <c r="OO85" s="99">
        <v>23.429500000000001</v>
      </c>
      <c r="OP85" s="99">
        <v>23.475230769230802</v>
      </c>
      <c r="OQ85" s="99">
        <v>23.520961538461499</v>
      </c>
      <c r="OR85" s="99">
        <v>23.5666923076923</v>
      </c>
      <c r="OS85" s="99">
        <v>23.6124230769231</v>
      </c>
      <c r="OT85" s="99">
        <v>23.658153846153802</v>
      </c>
      <c r="OU85" s="99">
        <v>23.703884615384599</v>
      </c>
      <c r="OV85" s="99">
        <v>23.749615384615399</v>
      </c>
      <c r="OW85" s="99">
        <v>23.7953461538462</v>
      </c>
      <c r="OX85" s="99">
        <v>23.841076923076901</v>
      </c>
      <c r="OY85" s="99">
        <v>23.886807692307698</v>
      </c>
      <c r="OZ85" s="99">
        <v>23.932538461538499</v>
      </c>
      <c r="PA85" s="99">
        <v>23.9782692307692</v>
      </c>
      <c r="PB85" s="99">
        <v>24.024000000000001</v>
      </c>
      <c r="PC85" s="99">
        <v>24.069730769230802</v>
      </c>
      <c r="PD85" s="99">
        <v>24.115461538461499</v>
      </c>
      <c r="PE85" s="99">
        <v>24.1611923076923</v>
      </c>
      <c r="PF85" s="99">
        <v>24.206923076923101</v>
      </c>
      <c r="PG85" s="99">
        <v>24.252653846153802</v>
      </c>
      <c r="PH85" s="99">
        <v>24.298384615384599</v>
      </c>
      <c r="PI85" s="99">
        <v>24.344115384615399</v>
      </c>
      <c r="PJ85" s="99">
        <v>24.3898461538462</v>
      </c>
      <c r="PK85" s="99">
        <v>24.435576923076901</v>
      </c>
      <c r="PL85" s="99">
        <v>24.481307692307698</v>
      </c>
      <c r="PM85" s="99">
        <v>24.527038461538499</v>
      </c>
      <c r="PN85" s="99">
        <v>24.5727692307692</v>
      </c>
      <c r="PO85" s="99">
        <v>24.618500000000001</v>
      </c>
      <c r="PP85" s="99">
        <v>24.664230769230802</v>
      </c>
      <c r="PQ85" s="99">
        <v>24.709961538461499</v>
      </c>
      <c r="PR85" s="99">
        <v>24.7556923076923</v>
      </c>
      <c r="PS85" s="99">
        <v>24.801423076923101</v>
      </c>
      <c r="PT85" s="99">
        <v>24.847153846153802</v>
      </c>
      <c r="PU85" s="99">
        <v>24.892884615384599</v>
      </c>
      <c r="PV85" s="99">
        <v>24.9386153846154</v>
      </c>
      <c r="PW85" s="99">
        <v>24.9843461538462</v>
      </c>
      <c r="PX85" s="99">
        <v>25.030076923076901</v>
      </c>
      <c r="PY85" s="99">
        <v>25.075807692307698</v>
      </c>
      <c r="PZ85" s="99">
        <v>25.121538461538499</v>
      </c>
      <c r="QA85" s="99">
        <v>25.1672692307692</v>
      </c>
      <c r="QB85" s="99">
        <v>25.213000000000001</v>
      </c>
      <c r="QC85" s="99">
        <v>25.258730769230802</v>
      </c>
      <c r="QD85" s="99">
        <v>25.304461538461499</v>
      </c>
      <c r="QE85" s="99">
        <v>25.3501923076923</v>
      </c>
      <c r="QF85" s="99">
        <v>25.395923076923101</v>
      </c>
      <c r="QG85" s="99">
        <v>25.441653846153802</v>
      </c>
      <c r="QH85" s="99">
        <v>25.487384615384599</v>
      </c>
      <c r="QI85" s="99">
        <v>25.5331153846154</v>
      </c>
      <c r="QJ85" s="99">
        <v>25.5788461538462</v>
      </c>
      <c r="QK85" s="99">
        <v>25.624576923076901</v>
      </c>
      <c r="QL85" s="99">
        <v>25.670307692307698</v>
      </c>
      <c r="QM85" s="99">
        <v>25.716038461538499</v>
      </c>
      <c r="QN85" s="99">
        <v>25.7617692307692</v>
      </c>
      <c r="QO85" s="99">
        <v>25.807500000000001</v>
      </c>
      <c r="QP85" s="99">
        <v>25.853230769230802</v>
      </c>
      <c r="QQ85" s="99">
        <v>25.898961538461499</v>
      </c>
      <c r="QR85" s="99">
        <v>25.9446923076923</v>
      </c>
      <c r="QS85" s="99">
        <v>25.990423076923101</v>
      </c>
      <c r="QT85" s="99">
        <v>26.036153846153798</v>
      </c>
      <c r="QU85" s="99">
        <v>26.081884615384599</v>
      </c>
      <c r="QV85" s="99">
        <v>26.1276153846154</v>
      </c>
      <c r="QW85" s="99">
        <v>26.1733461538462</v>
      </c>
      <c r="QX85" s="99">
        <v>26.219076923076901</v>
      </c>
      <c r="QY85" s="99">
        <v>26.264807692307699</v>
      </c>
      <c r="QZ85" s="99">
        <v>26.310538461538499</v>
      </c>
      <c r="RA85" s="99">
        <v>26.3562692307692</v>
      </c>
      <c r="RB85" s="99">
        <v>26.402000000000001</v>
      </c>
      <c r="RC85" s="99">
        <v>26.447730769230802</v>
      </c>
      <c r="RD85" s="99">
        <v>26.493461538461499</v>
      </c>
      <c r="RE85" s="99">
        <v>26.5391923076923</v>
      </c>
      <c r="RF85" s="99">
        <v>26.584923076923101</v>
      </c>
      <c r="RG85" s="99">
        <v>26.630653846153798</v>
      </c>
      <c r="RH85" s="99">
        <v>26.676384615384599</v>
      </c>
      <c r="RI85" s="99">
        <v>26.7221153846154</v>
      </c>
      <c r="RJ85" s="99">
        <v>26.7678461538462</v>
      </c>
      <c r="RK85" s="99">
        <v>26.813576923076901</v>
      </c>
      <c r="RL85" s="99">
        <v>26.859307692307699</v>
      </c>
      <c r="RM85" s="99">
        <v>26.905038461538499</v>
      </c>
      <c r="RN85" s="99">
        <v>26.9507692307692</v>
      </c>
      <c r="RO85" s="99">
        <v>26.996500000000001</v>
      </c>
      <c r="RP85" s="99">
        <v>27.042230769230802</v>
      </c>
      <c r="RQ85" s="99">
        <v>27.087961538461499</v>
      </c>
      <c r="RR85" s="99">
        <v>27.1336923076923</v>
      </c>
      <c r="RS85" s="99">
        <v>27.179423076923101</v>
      </c>
      <c r="RT85" s="99">
        <v>27.225153846153798</v>
      </c>
      <c r="RU85" s="99">
        <v>27.270884615384599</v>
      </c>
      <c r="RV85" s="99">
        <v>27.3166153846154</v>
      </c>
      <c r="RW85" s="99">
        <v>27.3623461538462</v>
      </c>
      <c r="RX85" s="99">
        <v>27.408076923076901</v>
      </c>
      <c r="RY85" s="99">
        <v>27.453807692307699</v>
      </c>
      <c r="RZ85" s="99">
        <v>27.499538461538499</v>
      </c>
      <c r="SA85" s="99">
        <v>27.5452692307692</v>
      </c>
      <c r="SB85" s="99">
        <v>27.591000000000001</v>
      </c>
      <c r="SC85" s="99">
        <v>27.636730769230802</v>
      </c>
      <c r="SD85" s="99">
        <v>27.682461538461499</v>
      </c>
      <c r="SE85" s="99">
        <v>27.7281923076923</v>
      </c>
      <c r="SF85" s="99">
        <v>27.773923076923101</v>
      </c>
      <c r="SG85" s="99">
        <v>27.819653846153798</v>
      </c>
      <c r="SH85" s="99">
        <v>27.865384615384599</v>
      </c>
      <c r="SI85" s="99">
        <v>27.9111153846154</v>
      </c>
      <c r="SJ85" s="99">
        <v>27.9568461538462</v>
      </c>
      <c r="SK85" s="99">
        <v>28.002576923076901</v>
      </c>
      <c r="SL85" s="99">
        <v>28.048307692307699</v>
      </c>
      <c r="SM85" s="99">
        <v>28.094038461538499</v>
      </c>
      <c r="SN85" s="99">
        <v>28.1397692307692</v>
      </c>
      <c r="SO85" s="99">
        <v>28.185500000000001</v>
      </c>
      <c r="SP85" s="99">
        <v>28.231230769230802</v>
      </c>
      <c r="SQ85" s="99">
        <v>28.276961538461499</v>
      </c>
      <c r="SR85" s="99">
        <v>28.3226923076923</v>
      </c>
      <c r="SS85" s="99">
        <v>28.368423076923101</v>
      </c>
      <c r="ST85" s="99">
        <v>28.414153846153798</v>
      </c>
      <c r="SU85" s="99">
        <v>28.459884615384599</v>
      </c>
      <c r="SV85" s="99">
        <v>28.5056153846154</v>
      </c>
      <c r="SW85" s="99">
        <v>28.5513461538462</v>
      </c>
      <c r="SX85" s="99">
        <v>28.597076923076902</v>
      </c>
      <c r="SY85" s="99">
        <v>28.642807692307699</v>
      </c>
      <c r="SZ85" s="99">
        <v>28.688538461538499</v>
      </c>
      <c r="TA85" s="99">
        <v>28.7342692307692</v>
      </c>
      <c r="TB85" s="99">
        <v>28.78</v>
      </c>
      <c r="TC85" s="99">
        <v>28.825730769230798</v>
      </c>
      <c r="TD85" s="99">
        <v>28.871461538461499</v>
      </c>
      <c r="TE85" s="99">
        <v>28.9171923076923</v>
      </c>
      <c r="TF85" s="99">
        <v>28.962923076923101</v>
      </c>
      <c r="TG85" s="99">
        <v>29.008653846153798</v>
      </c>
      <c r="TH85" s="99">
        <v>29.054384615384599</v>
      </c>
      <c r="TI85" s="99">
        <v>29.1001153846154</v>
      </c>
      <c r="TJ85" s="99">
        <v>29.1458461538462</v>
      </c>
      <c r="TK85" s="99">
        <v>29.191576923076902</v>
      </c>
      <c r="TL85" s="99">
        <v>29.237307692307699</v>
      </c>
      <c r="TM85" s="99">
        <v>29.283038461538499</v>
      </c>
      <c r="TN85" s="99">
        <v>29.328769230769201</v>
      </c>
      <c r="TO85" s="99">
        <v>29.374500000000001</v>
      </c>
      <c r="TP85" s="99">
        <v>29.420230769230798</v>
      </c>
      <c r="TQ85" s="99">
        <v>29.465961538461499</v>
      </c>
      <c r="TR85" s="99">
        <v>29.5116923076923</v>
      </c>
      <c r="TS85" s="99">
        <v>29.557423076923101</v>
      </c>
      <c r="TT85" s="99">
        <v>29.603153846153798</v>
      </c>
      <c r="TU85" s="99">
        <v>29.648884615384599</v>
      </c>
      <c r="TV85" s="99">
        <v>29.6946153846154</v>
      </c>
      <c r="TW85" s="99">
        <v>29.7403461538462</v>
      </c>
      <c r="TX85" s="99">
        <v>29.786076923076902</v>
      </c>
      <c r="TY85" s="99">
        <v>29.831807692307699</v>
      </c>
      <c r="TZ85" s="99">
        <v>29.877538461538499</v>
      </c>
      <c r="UA85" s="99">
        <v>29.923269230769201</v>
      </c>
      <c r="UB85" s="99">
        <v>29.969000000000001</v>
      </c>
      <c r="UC85" s="99">
        <v>30.014730769230798</v>
      </c>
      <c r="UD85" s="99">
        <v>30.060461538461499</v>
      </c>
      <c r="UE85" s="99">
        <v>30.1061923076923</v>
      </c>
      <c r="UF85" s="99">
        <v>30.151923076923101</v>
      </c>
      <c r="UG85" s="99">
        <v>30.197653846153798</v>
      </c>
      <c r="UH85" s="99">
        <v>30.243384615384599</v>
      </c>
      <c r="UI85" s="99">
        <v>30.2891153846154</v>
      </c>
      <c r="UJ85" s="99">
        <v>30.3348461538462</v>
      </c>
      <c r="UK85" s="99">
        <v>30.380576923076902</v>
      </c>
      <c r="UL85" s="99">
        <v>30.426307692307699</v>
      </c>
      <c r="UM85" s="99">
        <v>30.472038461538499</v>
      </c>
      <c r="UN85" s="99">
        <v>30.517769230769201</v>
      </c>
      <c r="UO85" s="99">
        <v>30.563500000000001</v>
      </c>
      <c r="UP85" s="99">
        <v>30.609230769230798</v>
      </c>
      <c r="UQ85" s="99">
        <v>30.6549615384615</v>
      </c>
      <c r="UR85" s="99">
        <v>30.7006923076923</v>
      </c>
      <c r="US85" s="99">
        <v>30.746423076923001</v>
      </c>
      <c r="UT85" s="99">
        <v>30.792153846153798</v>
      </c>
    </row>
    <row r="86" spans="1:566" x14ac:dyDescent="0.2">
      <c r="A86" s="92">
        <v>40</v>
      </c>
      <c r="B86" s="93">
        <v>4.96</v>
      </c>
      <c r="C86" s="93">
        <v>5</v>
      </c>
      <c r="D86" s="93">
        <v>5.05</v>
      </c>
      <c r="E86" s="93">
        <v>5.09</v>
      </c>
      <c r="F86" s="93">
        <v>5.14</v>
      </c>
      <c r="G86" s="93">
        <v>5.18</v>
      </c>
      <c r="H86" s="93">
        <v>5.23</v>
      </c>
      <c r="I86" s="93">
        <v>5.28</v>
      </c>
      <c r="J86" s="93">
        <v>5.32</v>
      </c>
      <c r="K86" s="93">
        <v>5.37</v>
      </c>
      <c r="L86" s="93">
        <v>5.41</v>
      </c>
      <c r="M86" s="93">
        <v>5.46</v>
      </c>
      <c r="N86" s="93">
        <v>5.5</v>
      </c>
      <c r="O86" s="93">
        <v>5.55</v>
      </c>
      <c r="P86" s="93">
        <v>5.59</v>
      </c>
      <c r="Q86" s="93">
        <v>5.64</v>
      </c>
      <c r="R86" s="93">
        <v>5.69</v>
      </c>
      <c r="S86" s="93">
        <v>5.73</v>
      </c>
      <c r="T86" s="93">
        <v>5.78</v>
      </c>
      <c r="U86" s="94">
        <v>5.82</v>
      </c>
      <c r="V86" s="93">
        <v>5.87</v>
      </c>
      <c r="W86" s="93">
        <v>5.91</v>
      </c>
      <c r="X86" s="93">
        <v>5.96</v>
      </c>
      <c r="Y86" s="93">
        <v>6</v>
      </c>
      <c r="Z86" s="93">
        <v>6.05</v>
      </c>
      <c r="AA86" s="93">
        <v>6.09</v>
      </c>
      <c r="AB86" s="93">
        <v>6.14</v>
      </c>
      <c r="AC86" s="93">
        <v>6.19</v>
      </c>
      <c r="AD86" s="93">
        <v>6.23</v>
      </c>
      <c r="AE86" s="93">
        <v>6.28</v>
      </c>
      <c r="AF86" s="93">
        <v>6.32</v>
      </c>
      <c r="AG86" s="93">
        <v>6.37</v>
      </c>
      <c r="AH86" s="93">
        <v>6.41</v>
      </c>
      <c r="AI86" s="93">
        <v>6.46</v>
      </c>
      <c r="AJ86" s="93">
        <v>6.5</v>
      </c>
      <c r="AK86" s="93">
        <v>6.55</v>
      </c>
      <c r="AL86" s="93">
        <v>6.59</v>
      </c>
      <c r="AM86" s="93">
        <v>6.64</v>
      </c>
      <c r="AN86" s="93">
        <v>6.69</v>
      </c>
      <c r="AO86" s="94">
        <v>6.73</v>
      </c>
      <c r="AP86" s="93">
        <v>6.7766538461538399</v>
      </c>
      <c r="AQ86" s="93">
        <v>6.8221369606003703</v>
      </c>
      <c r="AR86" s="93">
        <v>6.8676200750468999</v>
      </c>
      <c r="AS86" s="93">
        <v>6.9131031894934303</v>
      </c>
      <c r="AT86" s="93">
        <v>6.9585863039399598</v>
      </c>
      <c r="AU86" s="93">
        <v>7.0040694183864902</v>
      </c>
      <c r="AV86" s="93">
        <v>7.0495525328330197</v>
      </c>
      <c r="AW86" s="93">
        <v>7.0950356472795502</v>
      </c>
      <c r="AX86" s="93">
        <v>7.1405187617260797</v>
      </c>
      <c r="AY86" s="93">
        <v>7.1860018761726003</v>
      </c>
      <c r="AZ86" s="93">
        <v>7.2314849906191299</v>
      </c>
      <c r="BA86" s="93">
        <v>7.2769681050656603</v>
      </c>
      <c r="BB86" s="93">
        <v>7.3224512195121898</v>
      </c>
      <c r="BC86" s="93">
        <v>7.3679343339587202</v>
      </c>
      <c r="BD86" s="93">
        <v>7.4134174484052497</v>
      </c>
      <c r="BE86" s="93">
        <v>7.4589005628517802</v>
      </c>
      <c r="BF86" s="93">
        <v>7.5043836772983097</v>
      </c>
      <c r="BG86" s="93">
        <v>7.5498667917448401</v>
      </c>
      <c r="BH86" s="93">
        <v>7.5953499061913696</v>
      </c>
      <c r="BI86" s="94">
        <v>7.6408330206379</v>
      </c>
      <c r="BJ86" s="93">
        <v>7.6863161350844198</v>
      </c>
      <c r="BK86" s="101">
        <v>7.7317992495309502</v>
      </c>
      <c r="BL86" s="101">
        <v>7.7772823639774797</v>
      </c>
      <c r="BM86" s="101">
        <v>7.8227654784240102</v>
      </c>
      <c r="BN86" s="101">
        <v>7.8682485928705397</v>
      </c>
      <c r="BO86" s="101">
        <v>7.9137317073170701</v>
      </c>
      <c r="BP86" s="101">
        <v>7.9592148217635996</v>
      </c>
      <c r="BQ86" s="101">
        <v>8.00469793621013</v>
      </c>
      <c r="BR86" s="101">
        <v>8.0501810506566596</v>
      </c>
      <c r="BS86" s="101">
        <v>8.0956641651031909</v>
      </c>
      <c r="BT86" s="101">
        <v>8.1411472795497204</v>
      </c>
      <c r="BU86" s="101">
        <v>8.1866303939962393</v>
      </c>
      <c r="BV86" s="101">
        <v>8.2321135084427706</v>
      </c>
      <c r="BW86" s="101">
        <v>8.2775966228893001</v>
      </c>
      <c r="BX86" s="101">
        <v>8.3230797373358296</v>
      </c>
      <c r="BY86" s="101">
        <v>8.3685628517823591</v>
      </c>
      <c r="BZ86" s="101">
        <v>8.4140459662288904</v>
      </c>
      <c r="CA86" s="101">
        <v>8.45952908067542</v>
      </c>
      <c r="CB86" s="101">
        <v>8.5050121951219495</v>
      </c>
      <c r="CC86" s="101">
        <v>8.5504953095684808</v>
      </c>
      <c r="CD86" s="101">
        <v>8.5959784240150103</v>
      </c>
      <c r="CE86" s="101">
        <v>8.6414615384615399</v>
      </c>
      <c r="CF86" s="101">
        <v>8.6869446529080605</v>
      </c>
      <c r="CG86" s="101">
        <v>8.73242776735459</v>
      </c>
      <c r="CH86" s="101">
        <v>8.7779108818011196</v>
      </c>
      <c r="CI86" s="101">
        <v>8.8233939962476509</v>
      </c>
      <c r="CJ86" s="101">
        <v>8.8688771106941804</v>
      </c>
      <c r="CK86" s="101">
        <v>8.9143602251407099</v>
      </c>
      <c r="CL86" s="101">
        <v>8.9598433395872394</v>
      </c>
      <c r="CM86" s="101">
        <v>9.0053264540337707</v>
      </c>
      <c r="CN86" s="101">
        <v>9.0508095684803003</v>
      </c>
      <c r="CO86" s="101">
        <v>9.0962926829268298</v>
      </c>
      <c r="CP86" s="101">
        <v>9.1417757973733504</v>
      </c>
      <c r="CQ86" s="101">
        <v>9.18725891181988</v>
      </c>
      <c r="CR86" s="101">
        <v>9.2327420262664095</v>
      </c>
      <c r="CS86" s="101">
        <v>9.2782251407129408</v>
      </c>
      <c r="CT86" s="101">
        <v>9.3237082551594703</v>
      </c>
      <c r="CU86" s="101">
        <v>9.3691913696059999</v>
      </c>
      <c r="CV86" s="101">
        <v>9.4146744840525294</v>
      </c>
      <c r="CW86" s="101">
        <v>9.4601575984990607</v>
      </c>
      <c r="CX86" s="101">
        <v>9.5056407129455902</v>
      </c>
      <c r="CY86" s="101">
        <v>9.5511238273921197</v>
      </c>
      <c r="CZ86" s="101">
        <v>9.5966069418386493</v>
      </c>
      <c r="DA86" s="101">
        <v>9.6420900562851806</v>
      </c>
      <c r="DB86" s="101">
        <v>9.6875731707316994</v>
      </c>
      <c r="DC86" s="101">
        <v>9.7330562851782307</v>
      </c>
      <c r="DD86" s="101">
        <v>9.7785393996247603</v>
      </c>
      <c r="DE86" s="101">
        <v>9.8240225140712898</v>
      </c>
      <c r="DF86" s="101">
        <v>9.8695056285178193</v>
      </c>
      <c r="DG86" s="101">
        <v>9.9149887429643506</v>
      </c>
      <c r="DH86" s="101">
        <v>9.9604718574108801</v>
      </c>
      <c r="DI86" s="101">
        <v>10.005954971857401</v>
      </c>
      <c r="DJ86" s="101">
        <v>10.0514380863039</v>
      </c>
      <c r="DK86" s="101">
        <v>10.096921200750501</v>
      </c>
      <c r="DL86" s="101">
        <v>10.142404315197</v>
      </c>
      <c r="DM86" s="101">
        <v>10.187887429643499</v>
      </c>
      <c r="DN86" s="101">
        <v>10.2333705440901</v>
      </c>
      <c r="DO86" s="101">
        <v>10.278853658536599</v>
      </c>
      <c r="DP86" s="101">
        <v>10.3243367729831</v>
      </c>
      <c r="DQ86" s="101">
        <v>10.3698198874296</v>
      </c>
      <c r="DR86" s="101">
        <v>10.4153030018762</v>
      </c>
      <c r="DS86" s="101">
        <v>10.4607861163227</v>
      </c>
      <c r="DT86" s="101">
        <v>10.506269230769201</v>
      </c>
      <c r="DU86" s="101">
        <v>10.5517523452158</v>
      </c>
      <c r="DV86" s="101">
        <v>10.597235459662301</v>
      </c>
      <c r="DW86" s="101">
        <v>10.6427185741088</v>
      </c>
      <c r="DX86" s="101">
        <v>10.688201688555299</v>
      </c>
      <c r="DY86" s="101">
        <v>10.7336848030019</v>
      </c>
      <c r="DZ86" s="101">
        <v>10.779167917448399</v>
      </c>
      <c r="EA86" s="101">
        <v>10.8246510318949</v>
      </c>
      <c r="EB86" s="101">
        <v>10.870134146341501</v>
      </c>
      <c r="EC86" s="101">
        <v>10.915617260788</v>
      </c>
      <c r="ED86" s="101">
        <v>10.9611003752345</v>
      </c>
      <c r="EE86" s="101">
        <v>11.0065834896811</v>
      </c>
      <c r="EF86" s="101">
        <v>11.052066604127599</v>
      </c>
      <c r="EG86" s="101">
        <v>11.097549718574101</v>
      </c>
      <c r="EH86" s="101">
        <v>11.1430328330206</v>
      </c>
      <c r="EI86" s="101">
        <v>11.1885159474672</v>
      </c>
      <c r="EJ86" s="101">
        <v>11.2339990619137</v>
      </c>
      <c r="EK86" s="101">
        <v>11.279482176360199</v>
      </c>
      <c r="EL86" s="101">
        <v>11.3249652908068</v>
      </c>
      <c r="EM86" s="101">
        <v>11.370448405253301</v>
      </c>
      <c r="EN86" s="101">
        <v>11.4159315196998</v>
      </c>
      <c r="EO86" s="101">
        <v>11.461414634146299</v>
      </c>
      <c r="EP86" s="101">
        <v>11.5068977485929</v>
      </c>
      <c r="EQ86" s="101">
        <v>11.552380863039399</v>
      </c>
      <c r="ER86" s="101">
        <v>11.5978639774859</v>
      </c>
      <c r="ES86" s="101">
        <v>11.643347091932499</v>
      </c>
      <c r="ET86" s="101">
        <v>11.688830206379</v>
      </c>
      <c r="EU86" s="101">
        <v>11.7343133208255</v>
      </c>
      <c r="EV86" s="101">
        <v>11.779796435272001</v>
      </c>
      <c r="EW86" s="101">
        <v>11.8252795497186</v>
      </c>
      <c r="EX86" s="101">
        <v>11.870762664165101</v>
      </c>
      <c r="EY86" s="101">
        <v>11.9162457786116</v>
      </c>
      <c r="EZ86" s="101">
        <v>11.961728893058201</v>
      </c>
      <c r="FA86" s="101">
        <v>12.0072120075047</v>
      </c>
      <c r="FB86" s="101">
        <v>12.052695121951199</v>
      </c>
      <c r="FC86" s="101">
        <v>12.0981782363977</v>
      </c>
      <c r="FD86" s="101">
        <v>12.143661350844299</v>
      </c>
      <c r="FE86" s="101">
        <v>12.1891444652908</v>
      </c>
      <c r="FF86" s="101">
        <v>12.2346275797373</v>
      </c>
      <c r="FG86" s="101">
        <v>12.2801106941839</v>
      </c>
      <c r="FH86" s="101">
        <v>12.3255938086304</v>
      </c>
      <c r="FI86" s="101">
        <v>12.371076923076901</v>
      </c>
      <c r="FJ86" s="101">
        <v>12.416560037523499</v>
      </c>
      <c r="FK86" s="101">
        <v>12.462043151970001</v>
      </c>
      <c r="FL86" s="101">
        <v>12.5075262664165</v>
      </c>
      <c r="FM86" s="101">
        <v>12.553009380862999</v>
      </c>
      <c r="FN86" s="101">
        <v>12.5984924953096</v>
      </c>
      <c r="FO86" s="101">
        <v>12.643975609756099</v>
      </c>
      <c r="FP86" s="101">
        <v>12.6894587242026</v>
      </c>
      <c r="FQ86" s="101">
        <v>12.734941838649201</v>
      </c>
      <c r="FR86" s="101">
        <v>12.7804249530957</v>
      </c>
      <c r="FS86" s="101">
        <v>12.825908067542199</v>
      </c>
      <c r="FT86" s="101">
        <v>12.871391181988701</v>
      </c>
      <c r="FU86" s="101">
        <v>12.916874296435299</v>
      </c>
      <c r="FV86" s="101">
        <v>12.9623574108818</v>
      </c>
      <c r="FW86" s="101">
        <v>13.0078405253283</v>
      </c>
      <c r="FX86" s="101">
        <v>13.0533236397749</v>
      </c>
      <c r="FY86" s="101">
        <v>13.0988067542214</v>
      </c>
      <c r="FZ86" s="101">
        <v>13.144289868667901</v>
      </c>
      <c r="GA86" s="101">
        <v>13.1897729831144</v>
      </c>
      <c r="GB86" s="101">
        <v>13.235256097561001</v>
      </c>
      <c r="GC86" s="101">
        <v>13.2807392120075</v>
      </c>
      <c r="GD86" s="101">
        <v>13.326222326453999</v>
      </c>
      <c r="GE86" s="101">
        <v>13.3717054409006</v>
      </c>
      <c r="GF86" s="101">
        <v>13.417188555347099</v>
      </c>
      <c r="GG86" s="101">
        <v>13.4626716697936</v>
      </c>
      <c r="GH86" s="101">
        <v>13.508154784240199</v>
      </c>
      <c r="GI86" s="101">
        <v>13.5536378986867</v>
      </c>
      <c r="GJ86" s="101">
        <v>13.5991210131332</v>
      </c>
      <c r="GK86" s="101">
        <v>13.644604127579701</v>
      </c>
      <c r="GL86" s="101">
        <v>13.6900872420263</v>
      </c>
      <c r="GM86" s="101">
        <v>13.735570356472801</v>
      </c>
      <c r="GN86" s="101">
        <v>13.7810534709193</v>
      </c>
      <c r="GO86" s="101">
        <v>13.826536585365901</v>
      </c>
      <c r="GP86" s="101">
        <v>13.8720196998124</v>
      </c>
      <c r="GQ86" s="101">
        <v>13.917502814258899</v>
      </c>
      <c r="GR86" s="101">
        <v>13.9629859287054</v>
      </c>
      <c r="GS86" s="101">
        <v>14.008469043151999</v>
      </c>
      <c r="GT86" s="101">
        <v>14.0539521575985</v>
      </c>
      <c r="GU86" s="101">
        <v>14.099435272045</v>
      </c>
      <c r="GV86" s="101">
        <v>14.1449183864916</v>
      </c>
      <c r="GW86" s="101">
        <v>14.190401500938099</v>
      </c>
      <c r="GX86" s="101">
        <v>14.235884615384601</v>
      </c>
      <c r="GY86" s="101">
        <v>14.2813677298311</v>
      </c>
      <c r="GZ86" s="101">
        <v>14.326850844277701</v>
      </c>
      <c r="HA86" s="101">
        <v>14.3723339587242</v>
      </c>
      <c r="HB86" s="101">
        <v>14.417817073170699</v>
      </c>
      <c r="HC86" s="101">
        <v>14.4633001876173</v>
      </c>
      <c r="HD86" s="101">
        <v>14.508783302063801</v>
      </c>
      <c r="HE86" s="101">
        <v>14.5542664165103</v>
      </c>
      <c r="HF86" s="101">
        <v>14.5997495309568</v>
      </c>
      <c r="HG86" s="101">
        <v>14.6452326454034</v>
      </c>
      <c r="HH86" s="101">
        <v>14.690715759849899</v>
      </c>
      <c r="HI86" s="101">
        <v>14.736198874296401</v>
      </c>
      <c r="HJ86" s="101">
        <v>14.781681988742999</v>
      </c>
      <c r="HK86" s="101">
        <v>14.8271651031895</v>
      </c>
      <c r="HL86" s="101">
        <v>14.872648217636</v>
      </c>
      <c r="HM86" s="101">
        <v>14.9181313320826</v>
      </c>
      <c r="HN86" s="101">
        <v>14.9636144465291</v>
      </c>
      <c r="HO86" s="101">
        <v>15.009097560975601</v>
      </c>
      <c r="HP86" s="101">
        <v>15.0545806754222</v>
      </c>
      <c r="HQ86" s="101">
        <v>15.100063789868701</v>
      </c>
      <c r="HR86" s="101">
        <v>15.1455469043152</v>
      </c>
      <c r="HS86" s="101">
        <v>15.191030018761699</v>
      </c>
      <c r="HT86" s="101">
        <v>15.2365131332083</v>
      </c>
      <c r="HU86" s="101">
        <v>15.281996247654799</v>
      </c>
      <c r="HV86" s="101">
        <v>15.3274793621013</v>
      </c>
      <c r="HW86" s="101">
        <v>15.372962476547899</v>
      </c>
      <c r="HX86" s="101">
        <v>15.4184455909944</v>
      </c>
      <c r="HY86" s="101">
        <v>15.4639287054409</v>
      </c>
      <c r="HZ86" s="101">
        <v>15.509411819887401</v>
      </c>
      <c r="IA86" s="101">
        <v>15.554894934334</v>
      </c>
      <c r="IB86" s="101">
        <v>15.600378048780501</v>
      </c>
      <c r="IC86" s="101">
        <v>15.645861163227</v>
      </c>
      <c r="ID86" s="101">
        <v>15.691344277673601</v>
      </c>
      <c r="IE86" s="101">
        <v>15.7368273921201</v>
      </c>
      <c r="IF86" s="101">
        <v>15.782310506566599</v>
      </c>
      <c r="IG86" s="101">
        <v>15.8277936210131</v>
      </c>
      <c r="IH86" s="101">
        <v>15.873276735459701</v>
      </c>
      <c r="II86" s="101">
        <v>15.9187598499062</v>
      </c>
      <c r="IJ86" s="101">
        <v>15.9642429643527</v>
      </c>
      <c r="IK86" s="101">
        <v>16.0097260787993</v>
      </c>
      <c r="IL86" s="101">
        <v>16.055209193245801</v>
      </c>
      <c r="IM86" s="101">
        <v>16.100692307692299</v>
      </c>
      <c r="IN86" s="101">
        <v>16.146175422138899</v>
      </c>
      <c r="IO86" s="101">
        <v>16.1916585365854</v>
      </c>
      <c r="IP86" s="101">
        <v>16.237141651031902</v>
      </c>
      <c r="IQ86" s="101">
        <v>16.282624765478399</v>
      </c>
      <c r="IR86" s="101">
        <v>16.328107879925</v>
      </c>
      <c r="IS86" s="101">
        <v>16.373590994371501</v>
      </c>
      <c r="IT86" s="101">
        <v>16.419074108817998</v>
      </c>
      <c r="IU86" s="101">
        <v>16.464557223264599</v>
      </c>
      <c r="IV86" s="101">
        <v>16.5100403377111</v>
      </c>
      <c r="IW86" s="101">
        <v>16.555523452157601</v>
      </c>
      <c r="IX86" s="101">
        <v>16.601006566604099</v>
      </c>
      <c r="IY86" s="101">
        <v>16.646489681050699</v>
      </c>
      <c r="IZ86" s="101">
        <v>16.6919727954972</v>
      </c>
      <c r="JA86" s="101">
        <v>16.737455909943701</v>
      </c>
      <c r="JB86" s="101">
        <v>16.782939024390298</v>
      </c>
      <c r="JC86" s="101">
        <v>16.8284221388368</v>
      </c>
      <c r="JD86" s="101">
        <v>16.873905253283301</v>
      </c>
      <c r="JE86" s="101">
        <v>16.919388367729798</v>
      </c>
      <c r="JF86" s="101">
        <v>16.964871482176399</v>
      </c>
      <c r="JG86" s="101">
        <v>17.0103545966229</v>
      </c>
      <c r="JH86" s="101">
        <v>17.055837711069401</v>
      </c>
      <c r="JI86" s="101">
        <v>17.101320825516002</v>
      </c>
      <c r="JJ86" s="101">
        <v>17.146803939962499</v>
      </c>
      <c r="JK86" s="101">
        <v>17.192287054409</v>
      </c>
      <c r="JL86" s="101">
        <v>17.237770168855501</v>
      </c>
      <c r="JM86" s="101">
        <v>17.283253283302098</v>
      </c>
      <c r="JN86" s="101">
        <v>17.3287363977486</v>
      </c>
      <c r="JO86" s="101">
        <v>17.374219512195101</v>
      </c>
      <c r="JP86" s="101">
        <v>17.419702626641701</v>
      </c>
      <c r="JQ86" s="101">
        <v>17.465185741088199</v>
      </c>
      <c r="JR86" s="101">
        <v>17.5106688555347</v>
      </c>
      <c r="JS86" s="101">
        <v>17.5561519699813</v>
      </c>
      <c r="JT86" s="101">
        <v>17.601635084427802</v>
      </c>
      <c r="JU86" s="101">
        <v>17.647118198874299</v>
      </c>
      <c r="JV86" s="101">
        <v>17.6926013133208</v>
      </c>
      <c r="JW86" s="101">
        <v>17.738084427767401</v>
      </c>
      <c r="JX86" s="101">
        <v>17.783567542213898</v>
      </c>
      <c r="JY86" s="101">
        <v>17.829050656660399</v>
      </c>
      <c r="JZ86" s="101">
        <v>17.874533771107</v>
      </c>
      <c r="KA86" s="101">
        <v>17.920016885553501</v>
      </c>
      <c r="KB86" s="101">
        <v>17.965499999999999</v>
      </c>
      <c r="KC86" s="101">
        <v>18.0109831144465</v>
      </c>
      <c r="KD86" s="101">
        <v>18.0564662288931</v>
      </c>
      <c r="KE86" s="101">
        <v>18.101949343339601</v>
      </c>
      <c r="KF86" s="101">
        <v>18.147432457786099</v>
      </c>
      <c r="KG86" s="101">
        <v>18.1929155722327</v>
      </c>
      <c r="KH86" s="101">
        <v>18.238398686679201</v>
      </c>
      <c r="KI86" s="101">
        <v>18.283881801125698</v>
      </c>
      <c r="KJ86" s="101">
        <v>18.329364915572199</v>
      </c>
      <c r="KK86" s="101">
        <v>18.3748480300188</v>
      </c>
      <c r="KL86" s="101">
        <v>18.420331144465301</v>
      </c>
      <c r="KM86" s="101">
        <v>18.465814258911799</v>
      </c>
      <c r="KN86" s="101">
        <v>18.511297373358399</v>
      </c>
      <c r="KO86" s="101">
        <v>18.5567804878049</v>
      </c>
      <c r="KP86" s="101">
        <v>18.602263602251401</v>
      </c>
      <c r="KQ86" s="101">
        <v>18.647746716697998</v>
      </c>
      <c r="KR86" s="101">
        <v>18.6932298311445</v>
      </c>
      <c r="KS86" s="101">
        <v>18.738712945591001</v>
      </c>
      <c r="KT86" s="101">
        <v>18.784196060037502</v>
      </c>
      <c r="KU86" s="101">
        <v>18.829679174484099</v>
      </c>
      <c r="KV86" s="101">
        <v>18.8751622889306</v>
      </c>
      <c r="KW86" s="101">
        <v>18.920645403377101</v>
      </c>
      <c r="KX86" s="101">
        <v>18.966128517823702</v>
      </c>
      <c r="KY86" s="101">
        <v>19.011611632270199</v>
      </c>
      <c r="KZ86" s="101">
        <v>19.0570947467167</v>
      </c>
      <c r="LA86" s="101">
        <v>19.102577861163201</v>
      </c>
      <c r="LB86" s="101">
        <v>19.148060975609798</v>
      </c>
      <c r="LC86" s="101">
        <v>19.193544090056299</v>
      </c>
      <c r="LD86" s="101">
        <v>19.239027204502801</v>
      </c>
      <c r="LE86" s="101">
        <v>19.284510318949401</v>
      </c>
      <c r="LF86" s="101">
        <v>19.329993433395899</v>
      </c>
      <c r="LG86" s="101">
        <v>19.3754765478424</v>
      </c>
      <c r="LH86" s="101">
        <v>19.420959662288901</v>
      </c>
      <c r="LI86" s="101">
        <v>19.466442776735501</v>
      </c>
      <c r="LJ86" s="101">
        <v>19.511925891181999</v>
      </c>
      <c r="LK86" s="101">
        <v>19.5574090056285</v>
      </c>
      <c r="LL86" s="101">
        <v>19.602892120075101</v>
      </c>
      <c r="LM86" s="101">
        <v>19.648375234521598</v>
      </c>
      <c r="LN86" s="101">
        <v>19.693858348968099</v>
      </c>
      <c r="LO86" s="101">
        <v>19.7393414634146</v>
      </c>
      <c r="LP86" s="101">
        <v>19.784824577861201</v>
      </c>
      <c r="LQ86" s="101">
        <v>19.830307692307699</v>
      </c>
      <c r="LR86" s="101">
        <v>19.8757908067542</v>
      </c>
      <c r="LS86" s="101">
        <v>19.9212739212008</v>
      </c>
      <c r="LT86" s="101">
        <v>19.966757035647301</v>
      </c>
      <c r="LU86" s="101">
        <v>20.012240150093799</v>
      </c>
      <c r="LV86" s="101">
        <v>20.0577232645404</v>
      </c>
      <c r="LW86" s="101">
        <v>20.103206378986901</v>
      </c>
      <c r="LX86" s="101">
        <v>20.148689493433402</v>
      </c>
      <c r="LY86" s="101">
        <v>20.194172607879899</v>
      </c>
      <c r="LZ86" s="101">
        <v>20.2396557223265</v>
      </c>
      <c r="MA86" s="101">
        <v>20.285138836773001</v>
      </c>
      <c r="MB86" s="101">
        <v>20.330621951219499</v>
      </c>
      <c r="MC86" s="101">
        <v>20.376105065666099</v>
      </c>
      <c r="MD86" s="101">
        <v>20.4215881801126</v>
      </c>
      <c r="ME86" s="101">
        <v>20.467071294559101</v>
      </c>
      <c r="MF86" s="101">
        <v>20.512554409005599</v>
      </c>
      <c r="MG86" s="101">
        <v>20.558037523452199</v>
      </c>
      <c r="MH86" s="101">
        <v>20.603520637898701</v>
      </c>
      <c r="MI86" s="101">
        <v>20.649003752345202</v>
      </c>
      <c r="MJ86" s="101">
        <v>20.694486866791799</v>
      </c>
      <c r="MK86" s="101">
        <v>20.7399699812383</v>
      </c>
      <c r="ML86" s="101">
        <v>20.785453095684801</v>
      </c>
      <c r="MM86" s="101">
        <v>20.830936210131298</v>
      </c>
      <c r="MN86" s="101">
        <v>20.876419324577899</v>
      </c>
      <c r="MO86" s="101">
        <v>20.9219024390244</v>
      </c>
      <c r="MP86" s="101">
        <v>20.967385553470901</v>
      </c>
      <c r="MQ86" s="101">
        <v>21.012868667917498</v>
      </c>
      <c r="MR86" s="101">
        <v>21.058351782363999</v>
      </c>
      <c r="MS86" s="101">
        <v>21.103834896810501</v>
      </c>
      <c r="MT86" s="101">
        <v>21.149318011257101</v>
      </c>
      <c r="MU86" s="101">
        <v>21.194801125703599</v>
      </c>
      <c r="MV86" s="101">
        <v>21.2402842401501</v>
      </c>
      <c r="MW86" s="101">
        <v>21.285767354596601</v>
      </c>
      <c r="MX86" s="101">
        <v>21.331250469043201</v>
      </c>
      <c r="MY86" s="101">
        <v>21.376733583489699</v>
      </c>
      <c r="MZ86" s="101">
        <v>21.4222166979362</v>
      </c>
      <c r="NA86" s="101">
        <v>21.467699812382801</v>
      </c>
      <c r="NB86" s="101">
        <v>21.513182926829298</v>
      </c>
      <c r="NC86" s="101">
        <v>21.558666041275799</v>
      </c>
      <c r="ND86" s="101">
        <v>21.6041491557223</v>
      </c>
      <c r="NE86" s="101">
        <v>21.649632270168901</v>
      </c>
      <c r="NF86" s="101">
        <v>21.695115384615399</v>
      </c>
      <c r="NG86" s="101">
        <v>21.7405984990619</v>
      </c>
      <c r="NH86" s="101">
        <v>21.7860816135085</v>
      </c>
      <c r="NI86" s="101">
        <v>21.831564727955001</v>
      </c>
      <c r="NJ86" s="101">
        <v>21.877047842401499</v>
      </c>
      <c r="NK86" s="101">
        <v>21.922530956848</v>
      </c>
      <c r="NL86" s="101">
        <v>21.968014071294601</v>
      </c>
      <c r="NM86" s="101">
        <v>22.013497185741102</v>
      </c>
      <c r="NN86" s="101">
        <v>22.058980300187599</v>
      </c>
      <c r="NO86" s="101">
        <v>22.1044634146342</v>
      </c>
      <c r="NP86" s="101">
        <v>22.149946529080701</v>
      </c>
      <c r="NQ86" s="101">
        <v>22.195429643527198</v>
      </c>
      <c r="NR86" s="101">
        <v>22.2409127579737</v>
      </c>
      <c r="NS86" s="101">
        <v>22.2863958724203</v>
      </c>
      <c r="NT86" s="101">
        <v>22.331878986866801</v>
      </c>
      <c r="NU86" s="101">
        <v>22.377362101313299</v>
      </c>
      <c r="NV86" s="101">
        <v>22.422845215759899</v>
      </c>
      <c r="NW86" s="101">
        <v>22.468328330206401</v>
      </c>
      <c r="NX86" s="101">
        <v>22.513811444652902</v>
      </c>
      <c r="NY86" s="101">
        <v>22.559294559099499</v>
      </c>
      <c r="NZ86" s="101">
        <v>22.604777673546</v>
      </c>
      <c r="OA86" s="101">
        <v>22.650260787992501</v>
      </c>
      <c r="OB86" s="101">
        <v>22.695743902438998</v>
      </c>
      <c r="OC86" s="101">
        <v>22.741227016885599</v>
      </c>
      <c r="OD86" s="101">
        <v>22.7867101313321</v>
      </c>
      <c r="OE86" s="101">
        <v>22.832193245778601</v>
      </c>
      <c r="OF86" s="101">
        <v>22.877676360225198</v>
      </c>
      <c r="OG86" s="101">
        <v>22.923159474671699</v>
      </c>
      <c r="OH86" s="101">
        <v>22.9686425891182</v>
      </c>
      <c r="OI86" s="101">
        <v>23.014125703564702</v>
      </c>
      <c r="OJ86" s="101">
        <v>23.059608818011299</v>
      </c>
      <c r="OK86" s="101">
        <v>23.1050919324578</v>
      </c>
      <c r="OL86" s="101">
        <v>23.150575046904301</v>
      </c>
      <c r="OM86" s="101">
        <v>23.196058161350901</v>
      </c>
      <c r="ON86" s="101">
        <v>23.241541275797399</v>
      </c>
      <c r="OO86" s="101">
        <v>23.2870243902439</v>
      </c>
      <c r="OP86" s="101">
        <v>23.332507504690401</v>
      </c>
      <c r="OQ86" s="101">
        <v>23.377990619137002</v>
      </c>
      <c r="OR86" s="101">
        <v>23.423473733583499</v>
      </c>
      <c r="OS86" s="101">
        <v>23.46895684803</v>
      </c>
      <c r="OT86" s="101">
        <v>23.514439962476601</v>
      </c>
      <c r="OU86" s="101">
        <v>23.559923076923099</v>
      </c>
      <c r="OV86" s="101">
        <v>23.6054061913696</v>
      </c>
      <c r="OW86" s="101">
        <v>23.6508893058162</v>
      </c>
      <c r="OX86" s="101">
        <v>23.696372420262701</v>
      </c>
      <c r="OY86" s="101">
        <v>23.741855534709199</v>
      </c>
      <c r="OZ86" s="101">
        <v>23.7873386491557</v>
      </c>
      <c r="PA86" s="101">
        <v>23.832821763602301</v>
      </c>
      <c r="PB86" s="101">
        <v>23.878304878048802</v>
      </c>
      <c r="PC86" s="101">
        <v>23.923787992495299</v>
      </c>
      <c r="PD86" s="101">
        <v>23.9692711069419</v>
      </c>
      <c r="PE86" s="101">
        <v>24.014754221388401</v>
      </c>
      <c r="PF86" s="101">
        <v>24.060237335834898</v>
      </c>
      <c r="PG86" s="101">
        <v>24.1057204502814</v>
      </c>
      <c r="PH86" s="101">
        <v>24.151203564728</v>
      </c>
      <c r="PI86" s="101">
        <v>24.196686679174501</v>
      </c>
      <c r="PJ86" s="101">
        <v>24.242169793620999</v>
      </c>
      <c r="PK86" s="101">
        <v>24.287652908067599</v>
      </c>
      <c r="PL86" s="101">
        <v>24.3331360225141</v>
      </c>
      <c r="PM86" s="101">
        <v>24.378619136960602</v>
      </c>
      <c r="PN86" s="101">
        <v>24.424102251407099</v>
      </c>
      <c r="PO86" s="101">
        <v>24.4695853658537</v>
      </c>
      <c r="PP86" s="101">
        <v>24.515068480300201</v>
      </c>
      <c r="PQ86" s="101">
        <v>24.560551594746698</v>
      </c>
      <c r="PR86" s="101">
        <v>24.606034709193299</v>
      </c>
      <c r="PS86" s="101">
        <v>24.6515178236398</v>
      </c>
      <c r="PT86" s="101">
        <v>24.697000938086301</v>
      </c>
      <c r="PU86" s="101">
        <v>24.742484052532799</v>
      </c>
      <c r="PV86" s="101">
        <v>24.787967166979399</v>
      </c>
      <c r="PW86" s="101">
        <v>24.8334502814259</v>
      </c>
      <c r="PX86" s="101">
        <v>24.878933395872401</v>
      </c>
      <c r="PY86" s="101">
        <v>24.924416510318999</v>
      </c>
      <c r="PZ86" s="101">
        <v>24.9698996247655</v>
      </c>
      <c r="QA86" s="101">
        <v>25.015382739212001</v>
      </c>
      <c r="QB86" s="101">
        <v>25.060865853658601</v>
      </c>
      <c r="QC86" s="101">
        <v>25.106348968105099</v>
      </c>
      <c r="QD86" s="101">
        <v>25.1518320825516</v>
      </c>
      <c r="QE86" s="101">
        <v>25.197315196998101</v>
      </c>
      <c r="QF86" s="101">
        <v>25.242798311444702</v>
      </c>
      <c r="QG86" s="101">
        <v>25.288281425891199</v>
      </c>
      <c r="QH86" s="101">
        <v>25.3337645403377</v>
      </c>
      <c r="QI86" s="101">
        <v>25.379247654784301</v>
      </c>
      <c r="QJ86" s="101">
        <v>25.424730769230798</v>
      </c>
      <c r="QK86" s="101">
        <v>25.4702138836773</v>
      </c>
      <c r="QL86" s="101">
        <v>25.515696998123801</v>
      </c>
      <c r="QM86" s="101">
        <v>25.561180112570401</v>
      </c>
      <c r="QN86" s="101">
        <v>25.606663227016899</v>
      </c>
      <c r="QO86" s="101">
        <v>25.6521463414634</v>
      </c>
      <c r="QP86" s="101">
        <v>25.69762945591</v>
      </c>
      <c r="QQ86" s="101">
        <v>25.743112570356502</v>
      </c>
      <c r="QR86" s="101">
        <v>25.788595684802999</v>
      </c>
      <c r="QS86" s="101">
        <v>25.8340787992495</v>
      </c>
      <c r="QT86" s="101">
        <v>25.879561913696101</v>
      </c>
      <c r="QU86" s="101">
        <v>25.925045028142598</v>
      </c>
      <c r="QV86" s="101">
        <v>25.970528142589099</v>
      </c>
      <c r="QW86" s="101">
        <v>26.0160112570357</v>
      </c>
      <c r="QX86" s="101">
        <v>26.061494371482201</v>
      </c>
      <c r="QY86" s="101">
        <v>26.106977485928699</v>
      </c>
      <c r="QZ86" s="101">
        <v>26.1524606003752</v>
      </c>
      <c r="RA86" s="101">
        <v>26.1979437148218</v>
      </c>
      <c r="RB86" s="101">
        <v>26.243426829268302</v>
      </c>
      <c r="RC86" s="101">
        <v>26.288909943714799</v>
      </c>
      <c r="RD86" s="101">
        <v>26.3343930581614</v>
      </c>
      <c r="RE86" s="101">
        <v>26.379876172607901</v>
      </c>
      <c r="RF86" s="101">
        <v>26.425359287054398</v>
      </c>
      <c r="RG86" s="101">
        <v>26.470842401500999</v>
      </c>
      <c r="RH86" s="101">
        <v>26.5163255159475</v>
      </c>
      <c r="RI86" s="101">
        <v>26.561808630394001</v>
      </c>
      <c r="RJ86" s="101">
        <v>26.607291744840499</v>
      </c>
      <c r="RK86" s="101">
        <v>26.652774859287099</v>
      </c>
      <c r="RL86" s="101">
        <v>26.6982579737336</v>
      </c>
      <c r="RM86" s="101">
        <v>26.743741088180101</v>
      </c>
      <c r="RN86" s="101">
        <v>26.789224202626698</v>
      </c>
      <c r="RO86" s="101">
        <v>26.8347073170732</v>
      </c>
      <c r="RP86" s="101">
        <v>26.880190431519701</v>
      </c>
      <c r="RQ86" s="101">
        <v>26.925673545966202</v>
      </c>
      <c r="RR86" s="101">
        <v>26.971156660412799</v>
      </c>
      <c r="RS86" s="101">
        <v>27.0166397748593</v>
      </c>
      <c r="RT86" s="101">
        <v>27.062122889305801</v>
      </c>
      <c r="RU86" s="101">
        <v>27.107606003752402</v>
      </c>
      <c r="RV86" s="101">
        <v>27.153089118198899</v>
      </c>
      <c r="RW86" s="101">
        <v>27.1985722326454</v>
      </c>
      <c r="RX86" s="101">
        <v>27.244055347091901</v>
      </c>
      <c r="RY86" s="101">
        <v>27.289538461538498</v>
      </c>
      <c r="RZ86" s="101">
        <v>27.335021575984999</v>
      </c>
      <c r="SA86" s="101">
        <v>27.380504690431501</v>
      </c>
      <c r="SB86" s="101">
        <v>27.425987804878101</v>
      </c>
      <c r="SC86" s="101">
        <v>27.471470919324599</v>
      </c>
      <c r="SD86" s="101">
        <v>27.5169540337711</v>
      </c>
      <c r="SE86" s="101">
        <v>27.5624371482177</v>
      </c>
      <c r="SF86" s="101">
        <v>27.607920262664202</v>
      </c>
      <c r="SG86" s="101">
        <v>27.653403377110699</v>
      </c>
      <c r="SH86" s="101">
        <v>27.6988864915572</v>
      </c>
      <c r="SI86" s="101">
        <v>27.744369606003801</v>
      </c>
      <c r="SJ86" s="101">
        <v>27.789852720450298</v>
      </c>
      <c r="SK86" s="101">
        <v>27.835335834896799</v>
      </c>
      <c r="SL86" s="101">
        <v>27.8808189493434</v>
      </c>
      <c r="SM86" s="101">
        <v>27.926302063789901</v>
      </c>
      <c r="SN86" s="101">
        <v>27.971785178236399</v>
      </c>
      <c r="SO86" s="101">
        <v>28.0172682926829</v>
      </c>
      <c r="SP86" s="101">
        <v>28.0627514071295</v>
      </c>
      <c r="SQ86" s="101">
        <v>28.108234521576001</v>
      </c>
      <c r="SR86" s="101">
        <v>28.153717636022499</v>
      </c>
      <c r="SS86" s="101">
        <v>28.1992007504691</v>
      </c>
      <c r="ST86" s="101">
        <v>28.244683864915601</v>
      </c>
      <c r="SU86" s="101">
        <v>28.290166979362098</v>
      </c>
      <c r="SV86" s="101">
        <v>28.335650093808599</v>
      </c>
      <c r="SW86" s="101">
        <v>28.3811332082552</v>
      </c>
      <c r="SX86" s="101">
        <v>28.426616322701701</v>
      </c>
      <c r="SY86" s="101">
        <v>28.472099437148199</v>
      </c>
      <c r="SZ86" s="101">
        <v>28.517582551594799</v>
      </c>
      <c r="TA86" s="101">
        <v>28.5630656660413</v>
      </c>
      <c r="TB86" s="101">
        <v>28.608548780487801</v>
      </c>
      <c r="TC86" s="101">
        <v>28.654031894934299</v>
      </c>
      <c r="TD86" s="101">
        <v>28.699515009380899</v>
      </c>
      <c r="TE86" s="101">
        <v>28.744998123827401</v>
      </c>
      <c r="TF86" s="101">
        <v>28.790481238273902</v>
      </c>
      <c r="TG86" s="101">
        <v>28.835964352720499</v>
      </c>
      <c r="TH86" s="101">
        <v>28.881447467167</v>
      </c>
      <c r="TI86" s="101">
        <v>28.926930581613501</v>
      </c>
      <c r="TJ86" s="101">
        <v>28.972413696060102</v>
      </c>
      <c r="TK86" s="101">
        <v>29.017896810506599</v>
      </c>
      <c r="TL86" s="101">
        <v>29.0633799249531</v>
      </c>
      <c r="TM86" s="101">
        <v>29.108863039399601</v>
      </c>
      <c r="TN86" s="101">
        <v>29.154346153846198</v>
      </c>
      <c r="TO86" s="101">
        <v>29.199829268292699</v>
      </c>
      <c r="TP86" s="101">
        <v>29.245312382739201</v>
      </c>
      <c r="TQ86" s="101">
        <v>29.290795497185801</v>
      </c>
      <c r="TR86" s="101">
        <v>29.336278611632299</v>
      </c>
      <c r="TS86" s="101">
        <v>29.3817617260788</v>
      </c>
      <c r="TT86" s="101">
        <v>29.427244840525301</v>
      </c>
      <c r="TU86" s="101">
        <v>29.472727954971901</v>
      </c>
      <c r="TV86" s="101">
        <v>29.518211069418399</v>
      </c>
      <c r="TW86" s="101">
        <v>29.5636941838649</v>
      </c>
      <c r="TX86" s="101">
        <v>29.609177298311501</v>
      </c>
      <c r="TY86" s="101">
        <v>29.654660412757998</v>
      </c>
      <c r="TZ86" s="101">
        <v>29.700143527204499</v>
      </c>
      <c r="UA86" s="101">
        <v>29.745626641651</v>
      </c>
      <c r="UB86" s="101">
        <v>29.791109756097601</v>
      </c>
      <c r="UC86" s="101">
        <v>29.836592870544099</v>
      </c>
      <c r="UD86" s="101">
        <v>29.8820759849906</v>
      </c>
      <c r="UE86" s="101">
        <v>29.9275590994372</v>
      </c>
      <c r="UF86" s="101">
        <v>29.973042213883701</v>
      </c>
      <c r="UG86" s="101">
        <v>30.018525328330199</v>
      </c>
      <c r="UH86" s="101">
        <v>30.0640084427768</v>
      </c>
      <c r="UI86" s="101">
        <v>30.109491557223301</v>
      </c>
      <c r="UJ86" s="101">
        <v>30.154974671669802</v>
      </c>
      <c r="UK86" s="101">
        <v>30.200457786116299</v>
      </c>
      <c r="UL86" s="101">
        <v>30.2459409005629</v>
      </c>
      <c r="UM86" s="101">
        <v>30.291424015009401</v>
      </c>
      <c r="UN86" s="101">
        <v>30.336907129455899</v>
      </c>
      <c r="UO86" s="101">
        <v>30.382390243902499</v>
      </c>
      <c r="UP86" s="101">
        <v>30.427873358349</v>
      </c>
      <c r="UQ86" s="101">
        <v>30.473356472795501</v>
      </c>
      <c r="UR86" s="101">
        <v>30.518839587241999</v>
      </c>
      <c r="US86" s="101">
        <v>30.564322701688599</v>
      </c>
      <c r="UT86" s="101">
        <v>30.609805816135101</v>
      </c>
    </row>
  </sheetData>
  <sheetProtection algorithmName="SHA-512" hashValue="y3U4ewwUKctFCosKcsVxZah0JThTz4EK/ZaJ5wzZzRIStBFSLEdWF92/xvkJrXhDUaN96IJTIwSPHU+TpBELeA==" saltValue="S/hGQsCXjL8C9OjMM15v/w==" spinCount="100000" sheet="1" objects="1" scenarios="1"/>
  <pageMargins left="0.7" right="0.7" top="0.78740157499999996" bottom="0.78740157499999996"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0A283-2652-4A4B-BC7A-571A31568C75}">
  <sheetPr>
    <tabColor theme="5" tint="0.79998168889431442"/>
  </sheetPr>
  <dimension ref="A1:I77"/>
  <sheetViews>
    <sheetView workbookViewId="0">
      <selection activeCell="Q67" sqref="Q67"/>
    </sheetView>
  </sheetViews>
  <sheetFormatPr baseColWidth="10" defaultRowHeight="12.75" x14ac:dyDescent="0.2"/>
  <cols>
    <col min="1" max="1" width="41" customWidth="1"/>
    <col min="2" max="2" width="12.42578125" bestFit="1" customWidth="1"/>
  </cols>
  <sheetData>
    <row r="1" spans="1:9" x14ac:dyDescent="0.2">
      <c r="A1" t="s">
        <v>213</v>
      </c>
    </row>
    <row r="2" spans="1:9" x14ac:dyDescent="0.2">
      <c r="A2" t="s">
        <v>212</v>
      </c>
    </row>
    <row r="3" spans="1:9" x14ac:dyDescent="0.2">
      <c r="A3" t="s">
        <v>214</v>
      </c>
    </row>
    <row r="5" spans="1:9" x14ac:dyDescent="0.2">
      <c r="A5" t="s">
        <v>216</v>
      </c>
      <c r="H5" s="133" t="s">
        <v>219</v>
      </c>
    </row>
    <row r="6" spans="1:9" x14ac:dyDescent="0.2">
      <c r="A6" t="str">
        <f>Eingabe!N17</f>
        <v>pε (Konzentration redoxwirksame Spezies)</v>
      </c>
      <c r="B6" t="s">
        <v>289</v>
      </c>
      <c r="D6" t="s">
        <v>145</v>
      </c>
      <c r="E6" t="s">
        <v>146</v>
      </c>
      <c r="H6" t="s">
        <v>217</v>
      </c>
      <c r="I6" t="s">
        <v>218</v>
      </c>
    </row>
    <row r="7" spans="1:9" x14ac:dyDescent="0.2">
      <c r="A7" t="s">
        <v>220</v>
      </c>
      <c r="B7">
        <f>VLOOKUP(Eingabe!D24,Zwischenrechnungen!H7:I77,2)</f>
        <v>252.82</v>
      </c>
      <c r="D7">
        <f>VLOOKUP((Eingabe!D24-Eingabe!E26),Zwischenrechnungen!H7:I77,2)</f>
        <v>257.2</v>
      </c>
      <c r="E7">
        <f>VLOOKUP((Eingabe!D24+Eingabe!E27),Zwischenrechnungen!H7:I77,2)</f>
        <v>249.62</v>
      </c>
      <c r="H7">
        <v>0</v>
      </c>
      <c r="I7">
        <v>260.2</v>
      </c>
    </row>
    <row r="8" spans="1:9" x14ac:dyDescent="0.2">
      <c r="A8" t="s">
        <v>221</v>
      </c>
      <c r="B8">
        <f>Eingabe!N24-0.198*(Eingabe!D24-25)</f>
        <v>4.5343999999999998</v>
      </c>
      <c r="H8">
        <v>1</v>
      </c>
      <c r="I8">
        <f>($I$12-$I$7)/($H$12-$H$7)*(H8-$H$7)+$I$7</f>
        <v>259.59999999999997</v>
      </c>
    </row>
    <row r="9" spans="1:9" x14ac:dyDescent="0.2">
      <c r="A9" t="s">
        <v>222</v>
      </c>
      <c r="B9" t="str" cm="1">
        <f t="array" ref="B9:C9">IF(A6="U (Redoxspannung gemessen)",B8+B7,IF(Eingabe!N17:O17="Eh (Redoxpotenzial auf Wasserstoff=0 bezogen)",Eingabe!N24,""))</f>
        <v/>
      </c>
      <c r="C9" t="str">
        <v/>
      </c>
      <c r="H9">
        <v>2</v>
      </c>
      <c r="I9">
        <f t="shared" ref="I9:I10" si="0">($I$12-$I$7)/($H$12-$H$7)*(H9-$H$7)+$I$7</f>
        <v>259</v>
      </c>
    </row>
    <row r="10" spans="1:9" x14ac:dyDescent="0.2">
      <c r="H10">
        <v>3</v>
      </c>
      <c r="I10">
        <f t="shared" si="0"/>
        <v>258.39999999999998</v>
      </c>
    </row>
    <row r="11" spans="1:9" x14ac:dyDescent="0.2">
      <c r="A11" s="241" t="s">
        <v>404</v>
      </c>
      <c r="B11" cm="1">
        <f t="array" ref="B11:C11">IF(Eingabe!N17:O17="pε (Konzentration redoxwirksame Spezies)",Eingabe!N24,B9/1000/(2.303*8.31451*((Eingabe!D24+273.15)/96485.309)))</f>
        <v>2</v>
      </c>
      <c r="C11" t="e">
        <v>#VALUE!</v>
      </c>
      <c r="D11">
        <f>B11/B7*D7</f>
        <v>2.0346491575033618</v>
      </c>
      <c r="E11">
        <f>B11/B7*E7</f>
        <v>1.974685547029507</v>
      </c>
      <c r="H11">
        <v>4</v>
      </c>
      <c r="I11">
        <f>($I$12-$I$7)/($H$12-$H$7)*(H11-$H$7)+$I$7</f>
        <v>257.8</v>
      </c>
    </row>
    <row r="12" spans="1:9" x14ac:dyDescent="0.2">
      <c r="A12" t="s">
        <v>483</v>
      </c>
      <c r="B12" cm="1">
        <f t="array" ref="B12:E12">IF(Eingabe!N17:Q17="U (Redoxspannung gemessen)",Zwischenrechnungen!B9,IF(Eingabe!N17:Q17="Eh (Redoxpotenzial auf Wasserstoff=0 bezogen)",Zwischenrechnungen!B9,IF(Eingabe!N17:Q17="pε (Konzentration redoxwirksame Spezies)",Zwischenrechnungen!B11*1000*(2.303*8.31451*((Eingabe!D24+273.15)/96485.309)),"FEHLER")))</f>
        <v>113.26018807351281</v>
      </c>
      <c r="C12" s="216" t="str">
        <v>FEHLER</v>
      </c>
      <c r="D12" s="216" t="str">
        <v>FEHLER</v>
      </c>
      <c r="E12" s="216" t="str">
        <v>FEHLER</v>
      </c>
      <c r="H12">
        <v>5</v>
      </c>
      <c r="I12">
        <v>257.2</v>
      </c>
    </row>
    <row r="13" spans="1:9" x14ac:dyDescent="0.2">
      <c r="H13">
        <v>6</v>
      </c>
      <c r="I13">
        <f>($I$17-$I$12)/($H$17-$H$12)*(H13-$H$12)+$I$12</f>
        <v>256.58</v>
      </c>
    </row>
    <row r="14" spans="1:9" x14ac:dyDescent="0.2">
      <c r="H14">
        <v>7</v>
      </c>
      <c r="I14">
        <f t="shared" ref="I14:I16" si="1">($I$17-$I$12)/($H$17-$H$12)*(H14-$H$12)+$I$12</f>
        <v>255.95999999999998</v>
      </c>
    </row>
    <row r="15" spans="1:9" x14ac:dyDescent="0.2">
      <c r="A15" t="s">
        <v>266</v>
      </c>
      <c r="H15">
        <v>8</v>
      </c>
      <c r="I15">
        <f t="shared" si="1"/>
        <v>255.34</v>
      </c>
    </row>
    <row r="16" spans="1:9" x14ac:dyDescent="0.2">
      <c r="A16" t="s">
        <v>267</v>
      </c>
      <c r="B16">
        <f>Eingabe!R24</f>
        <v>5</v>
      </c>
      <c r="H16">
        <v>9</v>
      </c>
      <c r="I16">
        <f t="shared" si="1"/>
        <v>254.72</v>
      </c>
    </row>
    <row r="17" spans="1:9" x14ac:dyDescent="0.2">
      <c r="A17" t="s">
        <v>268</v>
      </c>
      <c r="B17">
        <f>B16/1000/'Löslichkeitstabelle-Wasser-I'!D1</f>
        <v>1.562558595947348E-4</v>
      </c>
      <c r="C17" t="s">
        <v>269</v>
      </c>
      <c r="H17">
        <v>10</v>
      </c>
      <c r="I17">
        <v>254.1</v>
      </c>
    </row>
    <row r="18" spans="1:9" x14ac:dyDescent="0.2">
      <c r="A18" t="s">
        <v>268</v>
      </c>
      <c r="B18">
        <f>B17*1000</f>
        <v>0.15625585959473481</v>
      </c>
      <c r="C18" t="s">
        <v>270</v>
      </c>
      <c r="H18">
        <v>11</v>
      </c>
      <c r="I18">
        <f>($I$22-$I$17)/($H$22-$H$17)*(H18-$H$17)+$I$17</f>
        <v>253.46</v>
      </c>
    </row>
    <row r="19" spans="1:9" x14ac:dyDescent="0.2">
      <c r="H19">
        <v>12</v>
      </c>
      <c r="I19">
        <f t="shared" ref="I19:I21" si="2">($I$22-$I$17)/($H$22-$H$17)*(H19-$H$17)+$I$17</f>
        <v>252.82</v>
      </c>
    </row>
    <row r="20" spans="1:9" x14ac:dyDescent="0.2">
      <c r="A20" t="s">
        <v>273</v>
      </c>
      <c r="B20">
        <f>1.26333333333333*10^(-5)</f>
        <v>1.2633333333333303E-5</v>
      </c>
      <c r="C20" t="s">
        <v>271</v>
      </c>
      <c r="D20" t="s">
        <v>272</v>
      </c>
      <c r="H20">
        <v>13</v>
      </c>
      <c r="I20">
        <f t="shared" si="2"/>
        <v>252.18</v>
      </c>
    </row>
    <row r="21" spans="1:9" x14ac:dyDescent="0.2">
      <c r="A21" t="s">
        <v>274</v>
      </c>
      <c r="B21">
        <v>1490</v>
      </c>
      <c r="C21" t="s">
        <v>105</v>
      </c>
      <c r="D21" t="s">
        <v>272</v>
      </c>
      <c r="H21">
        <v>14</v>
      </c>
      <c r="I21">
        <f t="shared" si="2"/>
        <v>251.54</v>
      </c>
    </row>
    <row r="22" spans="1:9" x14ac:dyDescent="0.2">
      <c r="H22">
        <v>15</v>
      </c>
      <c r="I22">
        <v>250.9</v>
      </c>
    </row>
    <row r="23" spans="1:9" x14ac:dyDescent="0.2">
      <c r="A23" t="s">
        <v>275</v>
      </c>
      <c r="B23">
        <f>B20*EXP(B21*(1/(Eingabe!D24+273.15)-1/298.15))</f>
        <v>1.5807933736131681E-5</v>
      </c>
      <c r="C23" t="s">
        <v>271</v>
      </c>
      <c r="H23">
        <v>16</v>
      </c>
      <c r="I23">
        <f>($I$27-$I$22)/($H$27-$H$22)*(H23-$H$22)+$I$22</f>
        <v>250.26</v>
      </c>
    </row>
    <row r="24" spans="1:9" x14ac:dyDescent="0.2">
      <c r="A24" t="s">
        <v>276</v>
      </c>
      <c r="B24">
        <f>B20*EXP(B21*(1/(Eingabe!D24+273.15-Eingabe!E26)-1/298.15))</f>
        <v>1.7751791371815897E-5</v>
      </c>
      <c r="C24" t="s">
        <v>271</v>
      </c>
      <c r="H24">
        <v>17</v>
      </c>
      <c r="I24">
        <f t="shared" ref="I24:I26" si="3">($I$27-$I$22)/($H$27-$H$22)*(H24-$H$22)+$I$22</f>
        <v>249.62</v>
      </c>
    </row>
    <row r="25" spans="1:9" x14ac:dyDescent="0.2">
      <c r="A25" t="s">
        <v>277</v>
      </c>
      <c r="B25">
        <f>B20*EXP(B21*(1/(Eingabe!D24+273.15+Eingabe!E27)-1/298.15))</f>
        <v>1.4448518651926907E-5</v>
      </c>
      <c r="C25" t="s">
        <v>271</v>
      </c>
      <c r="H25">
        <v>18</v>
      </c>
      <c r="I25">
        <f t="shared" si="3"/>
        <v>248.98</v>
      </c>
    </row>
    <row r="26" spans="1:9" x14ac:dyDescent="0.2">
      <c r="A26" s="677" t="s">
        <v>284</v>
      </c>
      <c r="B26" s="677"/>
      <c r="C26" s="677"/>
      <c r="D26" s="677"/>
      <c r="E26" s="677"/>
      <c r="F26" s="677"/>
      <c r="G26" s="677"/>
      <c r="H26">
        <v>19</v>
      </c>
      <c r="I26">
        <f t="shared" si="3"/>
        <v>248.34</v>
      </c>
    </row>
    <row r="27" spans="1:9" x14ac:dyDescent="0.2">
      <c r="A27" t="s">
        <v>278</v>
      </c>
      <c r="B27">
        <f>B18/B23</f>
        <v>9884.6479371042569</v>
      </c>
      <c r="C27" t="s">
        <v>281</v>
      </c>
      <c r="D27">
        <f>B27/100000</f>
        <v>9.8846479371042573E-2</v>
      </c>
      <c r="E27" t="s">
        <v>282</v>
      </c>
      <c r="F27">
        <f>D27*0.98692326671601</f>
        <v>9.7553890324246037E-2</v>
      </c>
      <c r="G27" t="s">
        <v>286</v>
      </c>
      <c r="H27">
        <v>20</v>
      </c>
      <c r="I27">
        <v>247.7</v>
      </c>
    </row>
    <row r="28" spans="1:9" x14ac:dyDescent="0.2">
      <c r="A28" t="s">
        <v>279</v>
      </c>
      <c r="B28">
        <f>B18/B24</f>
        <v>8802.2586747396417</v>
      </c>
      <c r="C28" t="s">
        <v>281</v>
      </c>
      <c r="D28">
        <f t="shared" ref="D28:D29" si="4">B28/100000</f>
        <v>8.8022586747396422E-2</v>
      </c>
      <c r="E28" t="s">
        <v>282</v>
      </c>
      <c r="F28">
        <f t="shared" ref="F28:F29" si="5">D28*0.98692326671601</f>
        <v>8.6871538857533848E-2</v>
      </c>
      <c r="G28" t="s">
        <v>286</v>
      </c>
      <c r="H28">
        <v>21</v>
      </c>
      <c r="I28">
        <f>($I$32-$I$27)/($H$32-$H$27)*(H28-$H$27)+$I$27</f>
        <v>247.04</v>
      </c>
    </row>
    <row r="29" spans="1:9" x14ac:dyDescent="0.2">
      <c r="A29" t="s">
        <v>280</v>
      </c>
      <c r="B29">
        <f>B18/B25</f>
        <v>10814.662967119883</v>
      </c>
      <c r="C29" t="s">
        <v>281</v>
      </c>
      <c r="D29">
        <f t="shared" si="4"/>
        <v>0.10814662967119883</v>
      </c>
      <c r="E29" t="s">
        <v>282</v>
      </c>
      <c r="F29">
        <f t="shared" si="5"/>
        <v>0.10673242503942612</v>
      </c>
      <c r="G29" t="s">
        <v>286</v>
      </c>
      <c r="H29">
        <v>22</v>
      </c>
      <c r="I29">
        <f t="shared" ref="I29:I31" si="6">($I$32-$I$27)/($H$32-$H$27)*(H29-$H$27)+$I$27</f>
        <v>246.38</v>
      </c>
    </row>
    <row r="30" spans="1:9" x14ac:dyDescent="0.2">
      <c r="H30">
        <v>23</v>
      </c>
      <c r="I30">
        <f t="shared" si="6"/>
        <v>245.72</v>
      </c>
    </row>
    <row r="31" spans="1:9" x14ac:dyDescent="0.2">
      <c r="A31" s="677" t="s">
        <v>285</v>
      </c>
      <c r="B31" s="677"/>
      <c r="C31" s="677"/>
      <c r="D31" s="677"/>
      <c r="E31" s="677"/>
      <c r="F31" s="677"/>
      <c r="G31" s="677"/>
      <c r="H31">
        <v>24</v>
      </c>
      <c r="I31">
        <f t="shared" si="6"/>
        <v>245.06</v>
      </c>
    </row>
    <row r="32" spans="1:9" x14ac:dyDescent="0.2">
      <c r="A32" t="s">
        <v>283</v>
      </c>
      <c r="B32">
        <f>Eingabe!R27</f>
        <v>10.83</v>
      </c>
      <c r="H32">
        <v>25</v>
      </c>
      <c r="I32">
        <v>244.4</v>
      </c>
    </row>
    <row r="33" spans="1:9" x14ac:dyDescent="0.2">
      <c r="A33" t="s">
        <v>268</v>
      </c>
      <c r="B33">
        <f>B32/1000/'Löslichkeitstabelle-Wasser-I'!D1</f>
        <v>3.3845019188219558E-4</v>
      </c>
      <c r="C33" t="s">
        <v>269</v>
      </c>
      <c r="H33">
        <v>26</v>
      </c>
      <c r="I33">
        <f>($I$37-$I$32)/($H$37-$H$32)*(H33-$H$32)+$I$32</f>
        <v>243.74</v>
      </c>
    </row>
    <row r="34" spans="1:9" x14ac:dyDescent="0.2">
      <c r="A34" t="s">
        <v>268</v>
      </c>
      <c r="B34">
        <f>B33*1000</f>
        <v>0.33845019188219561</v>
      </c>
      <c r="C34" t="s">
        <v>270</v>
      </c>
      <c r="H34">
        <v>27</v>
      </c>
      <c r="I34">
        <f t="shared" ref="I34:I36" si="7">($I$37-$I$32)/($H$37-$H$32)*(H34-$H$32)+$I$32</f>
        <v>243.08</v>
      </c>
    </row>
    <row r="35" spans="1:9" x14ac:dyDescent="0.2">
      <c r="A35" t="s">
        <v>278</v>
      </c>
      <c r="B35">
        <f>B34/B23</f>
        <v>21410.147431767822</v>
      </c>
      <c r="C35" t="s">
        <v>281</v>
      </c>
      <c r="D35">
        <f>B35/100000</f>
        <v>0.21410147431767823</v>
      </c>
      <c r="E35" t="s">
        <v>282</v>
      </c>
      <c r="F35">
        <f>D35*0.98692326671601</f>
        <v>0.21130172644231693</v>
      </c>
      <c r="G35" t="s">
        <v>286</v>
      </c>
      <c r="H35">
        <v>28</v>
      </c>
      <c r="I35">
        <f t="shared" si="7"/>
        <v>242.42</v>
      </c>
    </row>
    <row r="36" spans="1:9" x14ac:dyDescent="0.2">
      <c r="A36" t="s">
        <v>279</v>
      </c>
      <c r="B36">
        <f>B34/B24</f>
        <v>19065.692289486065</v>
      </c>
      <c r="C36" t="s">
        <v>281</v>
      </c>
      <c r="D36">
        <f t="shared" ref="D36:D37" si="8">B36/100000</f>
        <v>0.19065692289486066</v>
      </c>
      <c r="E36" t="s">
        <v>282</v>
      </c>
      <c r="F36">
        <f t="shared" ref="F36:F37" si="9">D36*0.98692326671601</f>
        <v>0.18816375316541833</v>
      </c>
      <c r="G36" t="s">
        <v>286</v>
      </c>
      <c r="H36">
        <v>29</v>
      </c>
      <c r="I36">
        <f t="shared" si="7"/>
        <v>241.76</v>
      </c>
    </row>
    <row r="37" spans="1:9" x14ac:dyDescent="0.2">
      <c r="A37" t="s">
        <v>280</v>
      </c>
      <c r="B37">
        <f>B34/B25</f>
        <v>23424.559986781667</v>
      </c>
      <c r="C37" t="s">
        <v>281</v>
      </c>
      <c r="D37">
        <f t="shared" si="8"/>
        <v>0.23424559986781668</v>
      </c>
      <c r="E37" t="s">
        <v>282</v>
      </c>
      <c r="F37">
        <f t="shared" si="9"/>
        <v>0.23118243263539701</v>
      </c>
      <c r="G37" t="s">
        <v>286</v>
      </c>
      <c r="H37">
        <v>30</v>
      </c>
      <c r="I37">
        <v>241.1</v>
      </c>
    </row>
    <row r="38" spans="1:9" x14ac:dyDescent="0.2">
      <c r="H38">
        <v>31</v>
      </c>
      <c r="I38">
        <f>($I$42-$I$37)/($H$42-$H$37)*(H38-$H$37)+$I$37</f>
        <v>240.42</v>
      </c>
    </row>
    <row r="39" spans="1:9" x14ac:dyDescent="0.2">
      <c r="H39">
        <v>32</v>
      </c>
      <c r="I39">
        <f t="shared" ref="I39:I41" si="10">($I$42-$I$37)/($H$42-$H$37)*(H39-$H$37)+$I$37</f>
        <v>239.73999999999998</v>
      </c>
    </row>
    <row r="40" spans="1:9" x14ac:dyDescent="0.2">
      <c r="A40" t="s">
        <v>968</v>
      </c>
      <c r="H40">
        <v>33</v>
      </c>
      <c r="I40">
        <f t="shared" si="10"/>
        <v>239.06</v>
      </c>
    </row>
    <row r="41" spans="1:9" x14ac:dyDescent="0.2">
      <c r="A41" t="s">
        <v>969</v>
      </c>
      <c r="H41">
        <v>34</v>
      </c>
      <c r="I41">
        <f t="shared" si="10"/>
        <v>238.38</v>
      </c>
    </row>
    <row r="42" spans="1:9" x14ac:dyDescent="0.2">
      <c r="A42" t="s">
        <v>967</v>
      </c>
      <c r="H42">
        <v>35</v>
      </c>
      <c r="I42">
        <v>237.7</v>
      </c>
    </row>
    <row r="43" spans="1:9" x14ac:dyDescent="0.2">
      <c r="A43" s="241" t="s">
        <v>970</v>
      </c>
      <c r="H43">
        <v>36</v>
      </c>
      <c r="I43">
        <f>($I$47-$I$42)/($H$47-$H$42)*(H43-$H$42)+$I$42</f>
        <v>237.01999999999998</v>
      </c>
    </row>
    <row r="44" spans="1:9" x14ac:dyDescent="0.2">
      <c r="H44">
        <v>37</v>
      </c>
      <c r="I44">
        <f t="shared" ref="I44:I46" si="11">($I$47-$I$42)/($H$47-$H$42)*(H44-$H$42)+$I$42</f>
        <v>236.34</v>
      </c>
    </row>
    <row r="45" spans="1:9" x14ac:dyDescent="0.2">
      <c r="H45">
        <v>38</v>
      </c>
      <c r="I45">
        <f t="shared" si="11"/>
        <v>235.66</v>
      </c>
    </row>
    <row r="46" spans="1:9" x14ac:dyDescent="0.2">
      <c r="H46">
        <v>39</v>
      </c>
      <c r="I46">
        <f t="shared" si="11"/>
        <v>234.98000000000002</v>
      </c>
    </row>
    <row r="47" spans="1:9" x14ac:dyDescent="0.2">
      <c r="H47">
        <v>40</v>
      </c>
      <c r="I47">
        <v>234.3</v>
      </c>
    </row>
    <row r="48" spans="1:9" x14ac:dyDescent="0.2">
      <c r="H48">
        <v>41</v>
      </c>
      <c r="I48">
        <f>($I$52-$I$47)/($H$52-$H$47)*(H48-$H$47)+$I$47</f>
        <v>233.60000000000002</v>
      </c>
    </row>
    <row r="49" spans="8:9" x14ac:dyDescent="0.2">
      <c r="H49">
        <v>42</v>
      </c>
      <c r="I49">
        <f t="shared" ref="I49:I51" si="12">($I$52-$I$47)/($H$52-$H$47)*(H49-$H$47)+$I$47</f>
        <v>232.9</v>
      </c>
    </row>
    <row r="50" spans="8:9" x14ac:dyDescent="0.2">
      <c r="H50">
        <v>43</v>
      </c>
      <c r="I50">
        <f t="shared" si="12"/>
        <v>232.20000000000002</v>
      </c>
    </row>
    <row r="51" spans="8:9" x14ac:dyDescent="0.2">
      <c r="H51">
        <v>44</v>
      </c>
      <c r="I51">
        <f t="shared" si="12"/>
        <v>231.5</v>
      </c>
    </row>
    <row r="52" spans="8:9" x14ac:dyDescent="0.2">
      <c r="H52">
        <v>45</v>
      </c>
      <c r="I52">
        <v>230.8</v>
      </c>
    </row>
    <row r="53" spans="8:9" x14ac:dyDescent="0.2">
      <c r="H53">
        <v>46</v>
      </c>
      <c r="I53">
        <f>($I$57-$I$52)/($H$57-$H$52)*(H53-$H$52)+$I$52</f>
        <v>230.08</v>
      </c>
    </row>
    <row r="54" spans="8:9" x14ac:dyDescent="0.2">
      <c r="H54">
        <v>47</v>
      </c>
      <c r="I54">
        <f t="shared" ref="I54:I56" si="13">($I$57-$I$52)/($H$57-$H$52)*(H54-$H$52)+$I$52</f>
        <v>229.36</v>
      </c>
    </row>
    <row r="55" spans="8:9" x14ac:dyDescent="0.2">
      <c r="H55">
        <v>48</v>
      </c>
      <c r="I55">
        <f t="shared" si="13"/>
        <v>228.64</v>
      </c>
    </row>
    <row r="56" spans="8:9" x14ac:dyDescent="0.2">
      <c r="H56">
        <v>49</v>
      </c>
      <c r="I56">
        <f t="shared" si="13"/>
        <v>227.92</v>
      </c>
    </row>
    <row r="57" spans="8:9" x14ac:dyDescent="0.2">
      <c r="H57">
        <v>50</v>
      </c>
      <c r="I57">
        <v>227.2</v>
      </c>
    </row>
    <row r="58" spans="8:9" x14ac:dyDescent="0.2">
      <c r="H58">
        <v>51</v>
      </c>
      <c r="I58">
        <f>($I$62-$I$57)/($H$62-$H$57)*(H58-$H$57)+$I$57</f>
        <v>226.48</v>
      </c>
    </row>
    <row r="59" spans="8:9" x14ac:dyDescent="0.2">
      <c r="H59">
        <v>52</v>
      </c>
      <c r="I59">
        <f t="shared" ref="I59:I61" si="14">($I$62-$I$57)/($H$62-$H$57)*(H59-$H$57)+$I$57</f>
        <v>225.76</v>
      </c>
    </row>
    <row r="60" spans="8:9" x14ac:dyDescent="0.2">
      <c r="H60">
        <v>53</v>
      </c>
      <c r="I60">
        <f t="shared" si="14"/>
        <v>225.04</v>
      </c>
    </row>
    <row r="61" spans="8:9" x14ac:dyDescent="0.2">
      <c r="H61">
        <v>54</v>
      </c>
      <c r="I61">
        <f t="shared" si="14"/>
        <v>224.32</v>
      </c>
    </row>
    <row r="62" spans="8:9" x14ac:dyDescent="0.2">
      <c r="H62">
        <v>55</v>
      </c>
      <c r="I62">
        <v>223.6</v>
      </c>
    </row>
    <row r="63" spans="8:9" x14ac:dyDescent="0.2">
      <c r="H63">
        <v>56</v>
      </c>
      <c r="I63">
        <f>($I$67-$I$62)/($H$67-$H$62)*(H63-$H$62)+$I$62</f>
        <v>222.85999999999999</v>
      </c>
    </row>
    <row r="64" spans="8:9" x14ac:dyDescent="0.2">
      <c r="H64">
        <v>57</v>
      </c>
      <c r="I64">
        <f t="shared" ref="I64:I66" si="15">($I$67-$I$62)/($H$67-$H$62)*(H64-$H$62)+$I$62</f>
        <v>222.12</v>
      </c>
    </row>
    <row r="65" spans="8:9" x14ac:dyDescent="0.2">
      <c r="H65">
        <v>58</v>
      </c>
      <c r="I65">
        <f t="shared" si="15"/>
        <v>221.38</v>
      </c>
    </row>
    <row r="66" spans="8:9" x14ac:dyDescent="0.2">
      <c r="H66">
        <v>59</v>
      </c>
      <c r="I66">
        <f t="shared" si="15"/>
        <v>220.64000000000001</v>
      </c>
    </row>
    <row r="67" spans="8:9" x14ac:dyDescent="0.2">
      <c r="H67">
        <v>60</v>
      </c>
      <c r="I67">
        <v>219.9</v>
      </c>
    </row>
    <row r="68" spans="8:9" x14ac:dyDescent="0.2">
      <c r="H68">
        <v>61</v>
      </c>
      <c r="I68">
        <f>($I$72-$I$67)/($H$72-$H$67)*(H68-$H$67)+$I$67</f>
        <v>219.16</v>
      </c>
    </row>
    <row r="69" spans="8:9" x14ac:dyDescent="0.2">
      <c r="H69">
        <v>62</v>
      </c>
      <c r="I69">
        <f t="shared" ref="I69:I71" si="16">($I$72-$I$67)/($H$72-$H$67)*(H69-$H$67)+$I$67</f>
        <v>218.42</v>
      </c>
    </row>
    <row r="70" spans="8:9" x14ac:dyDescent="0.2">
      <c r="H70">
        <v>63</v>
      </c>
      <c r="I70">
        <f t="shared" si="16"/>
        <v>217.68</v>
      </c>
    </row>
    <row r="71" spans="8:9" x14ac:dyDescent="0.2">
      <c r="H71">
        <v>64</v>
      </c>
      <c r="I71">
        <f t="shared" si="16"/>
        <v>216.94</v>
      </c>
    </row>
    <row r="72" spans="8:9" x14ac:dyDescent="0.2">
      <c r="H72">
        <v>65</v>
      </c>
      <c r="I72">
        <v>216.2</v>
      </c>
    </row>
    <row r="73" spans="8:9" x14ac:dyDescent="0.2">
      <c r="H73">
        <v>66</v>
      </c>
      <c r="I73">
        <f>($I$77-$I$72)/($H$77-$H$72)*(H73-$H$72)+$I$72</f>
        <v>215.44</v>
      </c>
    </row>
    <row r="74" spans="8:9" x14ac:dyDescent="0.2">
      <c r="H74">
        <v>67</v>
      </c>
      <c r="I74">
        <f t="shared" ref="I74:I76" si="17">($I$77-$I$72)/($H$77-$H$72)*(H74-$H$72)+$I$72</f>
        <v>214.68</v>
      </c>
    </row>
    <row r="75" spans="8:9" x14ac:dyDescent="0.2">
      <c r="H75">
        <v>68</v>
      </c>
      <c r="I75">
        <f t="shared" si="17"/>
        <v>213.92</v>
      </c>
    </row>
    <row r="76" spans="8:9" x14ac:dyDescent="0.2">
      <c r="H76">
        <v>69</v>
      </c>
      <c r="I76">
        <f t="shared" si="17"/>
        <v>213.16</v>
      </c>
    </row>
    <row r="77" spans="8:9" x14ac:dyDescent="0.2">
      <c r="H77">
        <v>70</v>
      </c>
      <c r="I77">
        <v>212.4</v>
      </c>
    </row>
  </sheetData>
  <sheetProtection algorithmName="SHA-512" hashValue="ZiFdEUwAvXVpjY5CPXXfMYOl/42psGGIvvr5eu67tgqM+72wASeFa22mriDxGdqIRb4K6LF6w925lIhtoq/7Eg==" saltValue="SC/z0Rq6sEFxcPJJzb/4mg==" spinCount="100000" sheet="1" objects="1" scenarios="1"/>
  <mergeCells count="2">
    <mergeCell ref="A26:G26"/>
    <mergeCell ref="A31:G3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20D71-C910-47FD-8B70-0A1B1B17A85B}">
  <sheetPr>
    <tabColor theme="5" tint="0.79998168889431442"/>
  </sheetPr>
  <dimension ref="A1:Z112"/>
  <sheetViews>
    <sheetView zoomScale="85" zoomScaleNormal="85" workbookViewId="0">
      <selection activeCell="Q67" sqref="Q67"/>
    </sheetView>
  </sheetViews>
  <sheetFormatPr baseColWidth="10" defaultRowHeight="12.75" x14ac:dyDescent="0.2"/>
  <cols>
    <col min="4" max="4" width="18.28515625" customWidth="1"/>
    <col min="14" max="14" width="12.28515625" bestFit="1" customWidth="1"/>
  </cols>
  <sheetData>
    <row r="1" spans="1:26" x14ac:dyDescent="0.2">
      <c r="A1" s="667" t="s">
        <v>196</v>
      </c>
      <c r="B1" s="667"/>
      <c r="C1" s="667"/>
      <c r="D1" s="667"/>
      <c r="E1" s="667"/>
      <c r="F1" s="667"/>
      <c r="G1" s="667" t="s">
        <v>205</v>
      </c>
      <c r="H1" s="667"/>
      <c r="I1" s="667"/>
      <c r="J1" s="667"/>
      <c r="K1" s="667"/>
      <c r="L1" s="667"/>
    </row>
    <row r="2" spans="1:26" ht="38.25" x14ac:dyDescent="0.2">
      <c r="K2" t="s">
        <v>145</v>
      </c>
      <c r="L2" t="s">
        <v>146</v>
      </c>
      <c r="N2" s="130" t="s">
        <v>209</v>
      </c>
      <c r="P2" s="105" t="s">
        <v>83</v>
      </c>
      <c r="Q2" s="106" t="s">
        <v>147</v>
      </c>
      <c r="R2" s="106" t="s">
        <v>148</v>
      </c>
      <c r="S2" s="106" t="s">
        <v>149</v>
      </c>
      <c r="T2" s="106" t="s">
        <v>150</v>
      </c>
      <c r="U2" s="107" t="s">
        <v>151</v>
      </c>
      <c r="V2" s="106" t="s">
        <v>152</v>
      </c>
      <c r="W2" s="106" t="s">
        <v>153</v>
      </c>
      <c r="X2" s="106" t="s">
        <v>154</v>
      </c>
      <c r="Y2" s="106" t="s">
        <v>155</v>
      </c>
      <c r="Z2" s="105" t="s">
        <v>156</v>
      </c>
    </row>
    <row r="3" spans="1:26" x14ac:dyDescent="0.2">
      <c r="A3" s="1" t="s">
        <v>195</v>
      </c>
      <c r="B3">
        <f>Eingabe!E7</f>
        <v>0.496</v>
      </c>
      <c r="G3" s="1" t="s">
        <v>195</v>
      </c>
      <c r="H3">
        <f>Eingabe!E7</f>
        <v>0.496</v>
      </c>
      <c r="J3" t="s">
        <v>178</v>
      </c>
      <c r="K3">
        <f>Eingabe!D24</f>
        <v>12.2</v>
      </c>
      <c r="L3">
        <f>Eingabe!D24</f>
        <v>12.2</v>
      </c>
      <c r="P3" s="108">
        <v>0</v>
      </c>
      <c r="Q3" s="108">
        <v>999.84</v>
      </c>
      <c r="R3" s="108">
        <v>5.9659999999999998E-2</v>
      </c>
      <c r="S3" s="108" t="s">
        <v>157</v>
      </c>
      <c r="T3" s="108" t="s">
        <v>158</v>
      </c>
      <c r="U3" s="108" t="s">
        <v>159</v>
      </c>
      <c r="V3" s="108" t="s">
        <v>160</v>
      </c>
      <c r="W3" s="108">
        <v>1791.8</v>
      </c>
      <c r="X3" s="108" t="s">
        <v>161</v>
      </c>
      <c r="Y3" s="108" t="s">
        <v>162</v>
      </c>
      <c r="Z3" s="108">
        <v>13.61</v>
      </c>
    </row>
    <row r="4" spans="1:26" x14ac:dyDescent="0.2">
      <c r="A4" s="1" t="s">
        <v>139</v>
      </c>
      <c r="B4">
        <f>Eingabe!E8</f>
        <v>0.496</v>
      </c>
      <c r="G4" s="1" t="s">
        <v>139</v>
      </c>
      <c r="H4">
        <f>Eingabe!E8</f>
        <v>0.496</v>
      </c>
      <c r="J4" t="s">
        <v>179</v>
      </c>
      <c r="K4">
        <f>K3-Eingabe!E26</f>
        <v>5.9999999999999991</v>
      </c>
      <c r="L4">
        <f>L3+Eingabe!E27</f>
        <v>17.2</v>
      </c>
      <c r="N4">
        <f>IF(Eingabe!R3=1,Wärmeübertrager!B19,K25)</f>
        <v>10.500672043010752</v>
      </c>
      <c r="P4" s="108">
        <v>1</v>
      </c>
      <c r="Q4" s="108">
        <v>999.9</v>
      </c>
      <c r="R4" s="108">
        <v>4.2774000000000001</v>
      </c>
      <c r="S4" s="108">
        <v>1.5259999999999999E-2</v>
      </c>
      <c r="T4" s="108">
        <v>4.2160000000000002</v>
      </c>
      <c r="U4" s="108" t="s">
        <v>163</v>
      </c>
      <c r="V4" s="108">
        <v>558.17999999999995</v>
      </c>
      <c r="W4" s="108">
        <v>1731</v>
      </c>
      <c r="X4" s="108">
        <v>1.7310000000000001</v>
      </c>
      <c r="Y4" s="108">
        <v>0.13239999999999999</v>
      </c>
      <c r="Z4" s="108">
        <v>13.07</v>
      </c>
    </row>
    <row r="5" spans="1:26" x14ac:dyDescent="0.2">
      <c r="A5" s="1" t="s">
        <v>142</v>
      </c>
      <c r="B5">
        <f>Eingabe!E9</f>
        <v>8.9999999999999993E-3</v>
      </c>
      <c r="G5" s="1" t="s">
        <v>142</v>
      </c>
      <c r="H5">
        <f>Eingabe!E9</f>
        <v>8.9999999999999993E-3</v>
      </c>
      <c r="J5" t="s">
        <v>180</v>
      </c>
      <c r="K5">
        <f>-K20/K10/K16+K6</f>
        <v>-1.6858144274768225</v>
      </c>
      <c r="L5">
        <f>L20/L10/L16+L6</f>
        <v>23.572383520400095</v>
      </c>
      <c r="P5" s="108">
        <v>2</v>
      </c>
      <c r="Q5" s="108">
        <v>999.94</v>
      </c>
      <c r="R5" s="108">
        <v>8.4917999999999996</v>
      </c>
      <c r="S5" s="108">
        <v>3.0609999999999998E-2</v>
      </c>
      <c r="T5" s="108">
        <v>4.2130000000000001</v>
      </c>
      <c r="U5" s="108" t="s">
        <v>164</v>
      </c>
      <c r="V5" s="108">
        <v>560.66</v>
      </c>
      <c r="W5" s="108">
        <v>1673.5</v>
      </c>
      <c r="X5" s="108">
        <v>1.6739999999999999</v>
      </c>
      <c r="Y5" s="108">
        <v>0.1331</v>
      </c>
      <c r="Z5" s="108">
        <v>12.57</v>
      </c>
    </row>
    <row r="6" spans="1:26" x14ac:dyDescent="0.2">
      <c r="A6" s="1" t="s">
        <v>141</v>
      </c>
      <c r="B6">
        <f>Eingabe!E10</f>
        <v>1E-3</v>
      </c>
      <c r="G6" s="1" t="s">
        <v>141</v>
      </c>
      <c r="H6">
        <f>Eingabe!E10</f>
        <v>1E-3</v>
      </c>
      <c r="J6" t="s">
        <v>181</v>
      </c>
      <c r="K6">
        <f>K4-1</f>
        <v>4.9999999999999991</v>
      </c>
      <c r="L6">
        <f>L4+1</f>
        <v>18.2</v>
      </c>
      <c r="P6" s="108">
        <v>3</v>
      </c>
      <c r="Q6" s="108">
        <v>1000</v>
      </c>
      <c r="R6" s="108">
        <v>12.702999999999999</v>
      </c>
      <c r="S6" s="108">
        <v>4.589E-2</v>
      </c>
      <c r="T6" s="108">
        <v>4.21</v>
      </c>
      <c r="U6" s="108" t="s">
        <v>165</v>
      </c>
      <c r="V6" s="108">
        <v>563.09</v>
      </c>
      <c r="W6" s="108">
        <v>1619</v>
      </c>
      <c r="X6" s="108">
        <v>1.619</v>
      </c>
      <c r="Y6" s="108">
        <v>0.1338</v>
      </c>
      <c r="Z6" s="108">
        <v>12.1</v>
      </c>
    </row>
    <row r="7" spans="1:26" x14ac:dyDescent="0.2">
      <c r="P7" s="108">
        <v>4</v>
      </c>
      <c r="Q7" s="108">
        <v>1000</v>
      </c>
      <c r="R7" s="108">
        <v>16.911999999999999</v>
      </c>
      <c r="S7" s="108">
        <v>6.1100000000000002E-2</v>
      </c>
      <c r="T7" s="108">
        <v>4.2069999999999999</v>
      </c>
      <c r="U7" s="108">
        <v>5.9999999999999995E-4</v>
      </c>
      <c r="V7" s="108">
        <v>565.47</v>
      </c>
      <c r="W7" s="108">
        <v>1567.3</v>
      </c>
      <c r="X7" s="108">
        <v>1.5669999999999999</v>
      </c>
      <c r="Y7" s="108">
        <v>0.13439999999999999</v>
      </c>
      <c r="Z7" s="108">
        <v>11.66</v>
      </c>
    </row>
    <row r="8" spans="1:26" x14ac:dyDescent="0.2">
      <c r="A8" t="s">
        <v>143</v>
      </c>
      <c r="B8">
        <f>1/6*(1+SQRT(1+(((2*PI()*B6)/B5))^2)+4*SQRT(1+(((2*PI()*B6)/B5))^2/2))</f>
        <v>1.1134043639930784</v>
      </c>
      <c r="G8" t="s">
        <v>143</v>
      </c>
      <c r="H8">
        <f>1/6*(1+SQRT(1+(((2*PI()*B6)/B5))^2)+4*SQRT(1+(((2*PI()*B6)/B5))^2/2))</f>
        <v>1.1134043639930784</v>
      </c>
      <c r="J8" t="s">
        <v>176</v>
      </c>
      <c r="K8">
        <f>Eingabe!E24</f>
        <v>300</v>
      </c>
      <c r="L8">
        <f>Eingabe!E24</f>
        <v>300</v>
      </c>
      <c r="P8" s="108">
        <v>5</v>
      </c>
      <c r="Q8" s="108">
        <v>1000</v>
      </c>
      <c r="R8" s="108">
        <v>21.117999999999999</v>
      </c>
      <c r="S8" s="108">
        <v>7.6249999999999998E-2</v>
      </c>
      <c r="T8" s="108">
        <v>4.2050000000000001</v>
      </c>
      <c r="U8" s="108">
        <v>1.6299999999999999E-2</v>
      </c>
      <c r="V8" s="108">
        <v>567.79</v>
      </c>
      <c r="W8" s="108">
        <v>1518.2</v>
      </c>
      <c r="X8" s="108">
        <v>1.518</v>
      </c>
      <c r="Y8" s="108">
        <v>0.13500000000000001</v>
      </c>
      <c r="Z8" s="108">
        <v>11.24</v>
      </c>
    </row>
    <row r="9" spans="1:26" x14ac:dyDescent="0.2">
      <c r="J9" t="s">
        <v>175</v>
      </c>
      <c r="K9">
        <f>K8/3600*K12</f>
        <v>83.314999999999998</v>
      </c>
      <c r="L9">
        <f>L8/3600*L12</f>
        <v>83.270833333333329</v>
      </c>
      <c r="P9" s="108">
        <v>6</v>
      </c>
      <c r="Q9" s="108">
        <v>999.94</v>
      </c>
      <c r="R9" s="108">
        <v>25.321999999999999</v>
      </c>
      <c r="S9" s="108">
        <v>9.1340000000000005E-2</v>
      </c>
      <c r="T9" s="108">
        <v>4.2030000000000003</v>
      </c>
      <c r="U9" s="108">
        <v>3.15E-2</v>
      </c>
      <c r="V9" s="108">
        <v>570.08000000000004</v>
      </c>
      <c r="W9" s="108">
        <v>1471.5</v>
      </c>
      <c r="X9" s="108">
        <v>1.472</v>
      </c>
      <c r="Y9" s="108">
        <v>0.13569999999999999</v>
      </c>
      <c r="Z9" s="108">
        <v>10.85</v>
      </c>
    </row>
    <row r="10" spans="1:26" x14ac:dyDescent="0.2">
      <c r="A10" t="s">
        <v>144</v>
      </c>
      <c r="B10">
        <f>B3*B4*B8</f>
        <v>0.27391528801212117</v>
      </c>
      <c r="G10" t="s">
        <v>144</v>
      </c>
      <c r="H10">
        <f>B3*B4*B8</f>
        <v>0.27391528801212117</v>
      </c>
      <c r="J10" t="s">
        <v>185</v>
      </c>
      <c r="K10">
        <f>K8/3600*K15</f>
        <v>87.449999999999989</v>
      </c>
      <c r="L10">
        <f>L8/3600*L15</f>
        <v>86.916666666666657</v>
      </c>
      <c r="P10" s="108">
        <v>7</v>
      </c>
      <c r="Q10" s="108">
        <v>999.9</v>
      </c>
      <c r="R10" s="108">
        <v>29.524000000000001</v>
      </c>
      <c r="S10" s="108">
        <v>0.10636</v>
      </c>
      <c r="T10" s="108">
        <v>4.2009999999999996</v>
      </c>
      <c r="U10" s="108">
        <v>4.6300000000000001E-2</v>
      </c>
      <c r="V10" s="108">
        <v>572.30999999999995</v>
      </c>
      <c r="W10" s="108">
        <v>1427</v>
      </c>
      <c r="X10" s="108">
        <v>1.427</v>
      </c>
      <c r="Y10" s="108">
        <v>0.1363</v>
      </c>
      <c r="Z10" s="108">
        <v>10.47</v>
      </c>
    </row>
    <row r="11" spans="1:26" x14ac:dyDescent="0.2">
      <c r="P11" s="108">
        <v>8</v>
      </c>
      <c r="Q11" s="108">
        <v>999.85</v>
      </c>
      <c r="R11" s="108">
        <v>33.722999999999999</v>
      </c>
      <c r="S11" s="108">
        <v>0.12132999999999999</v>
      </c>
      <c r="T11" s="108">
        <v>4.1989999999999998</v>
      </c>
      <c r="U11" s="108">
        <v>6.0600000000000001E-2</v>
      </c>
      <c r="V11" s="108">
        <v>574.51</v>
      </c>
      <c r="W11" s="108">
        <v>1384.7</v>
      </c>
      <c r="X11" s="108">
        <v>1.385</v>
      </c>
      <c r="Y11" s="108">
        <v>0.1368</v>
      </c>
      <c r="Z11" s="108">
        <v>10.119999999999999</v>
      </c>
    </row>
    <row r="12" spans="1:26" x14ac:dyDescent="0.2">
      <c r="A12" t="s">
        <v>190</v>
      </c>
      <c r="B12">
        <f>B6*2</f>
        <v>2E-3</v>
      </c>
      <c r="G12" t="s">
        <v>190</v>
      </c>
      <c r="H12">
        <f>B6*2</f>
        <v>2E-3</v>
      </c>
      <c r="J12" t="s">
        <v>177</v>
      </c>
      <c r="K12">
        <f>VLOOKUP(AVERAGE(K3:K4),P3:Z43,2)</f>
        <v>999.78</v>
      </c>
      <c r="L12">
        <f>VLOOKUP(AVERAGE(L3:L4),P3:Z43,2)</f>
        <v>999.25</v>
      </c>
      <c r="P12" s="108">
        <v>9</v>
      </c>
      <c r="Q12" s="108">
        <v>999.78</v>
      </c>
      <c r="R12" s="108">
        <v>37.920999999999999</v>
      </c>
      <c r="S12" s="108">
        <v>0.13622999999999999</v>
      </c>
      <c r="T12" s="108">
        <v>4.1970000000000001</v>
      </c>
      <c r="U12" s="108">
        <v>7.46E-2</v>
      </c>
      <c r="V12" s="108">
        <v>576.66</v>
      </c>
      <c r="W12" s="108">
        <v>1344.4</v>
      </c>
      <c r="X12" s="108">
        <v>1.345</v>
      </c>
      <c r="Y12" s="108">
        <v>0.13739999999999999</v>
      </c>
      <c r="Z12" s="108">
        <v>9.7850000000000001</v>
      </c>
    </row>
    <row r="13" spans="1:26" x14ac:dyDescent="0.2">
      <c r="A13" t="s">
        <v>191</v>
      </c>
      <c r="B13">
        <f>B4*B12</f>
        <v>9.9200000000000004E-4</v>
      </c>
      <c r="G13" t="s">
        <v>191</v>
      </c>
      <c r="H13">
        <f>H4*H12</f>
        <v>9.9200000000000004E-4</v>
      </c>
      <c r="J13" t="s">
        <v>183</v>
      </c>
      <c r="K13">
        <f>VLOOKUP(AVERAGE(K3:K4),P3:Z43,5)*1000</f>
        <v>4197</v>
      </c>
      <c r="L13">
        <f>VLOOKUP(AVERAGE(L3:L4),P3:Z43,5)*1000</f>
        <v>4190</v>
      </c>
      <c r="P13" s="108">
        <v>10</v>
      </c>
      <c r="Q13" s="108">
        <v>999.7</v>
      </c>
      <c r="R13" s="108">
        <v>42.116999999999997</v>
      </c>
      <c r="S13" s="108">
        <v>0.15107999999999999</v>
      </c>
      <c r="T13" s="108">
        <v>4.1950000000000003</v>
      </c>
      <c r="U13" s="108">
        <v>8.8099999999999998E-2</v>
      </c>
      <c r="V13" s="108">
        <v>578.78</v>
      </c>
      <c r="W13" s="108">
        <v>1305.9000000000001</v>
      </c>
      <c r="X13" s="108">
        <v>1.306</v>
      </c>
      <c r="Y13" s="108">
        <v>0.13800000000000001</v>
      </c>
      <c r="Z13" s="108">
        <v>9.4659999999999993</v>
      </c>
    </row>
    <row r="14" spans="1:26" x14ac:dyDescent="0.2">
      <c r="P14" s="108">
        <v>11</v>
      </c>
      <c r="Q14" s="108">
        <v>999.61</v>
      </c>
      <c r="R14" s="108">
        <v>46.311999999999998</v>
      </c>
      <c r="S14" s="108">
        <v>0.16586000000000001</v>
      </c>
      <c r="T14" s="108">
        <v>4.194</v>
      </c>
      <c r="U14" s="108">
        <v>0.1013</v>
      </c>
      <c r="V14" s="108">
        <v>580.85</v>
      </c>
      <c r="W14" s="108">
        <v>1269.2</v>
      </c>
      <c r="X14" s="108">
        <v>1.27</v>
      </c>
      <c r="Y14" s="108">
        <v>0.1386</v>
      </c>
      <c r="Z14" s="108">
        <v>9.1639999999999997</v>
      </c>
    </row>
    <row r="15" spans="1:26" x14ac:dyDescent="0.2">
      <c r="A15" t="s">
        <v>192</v>
      </c>
      <c r="B15">
        <f>B10*(Eingabe!D11-2)</f>
        <v>4.1087293201818174</v>
      </c>
      <c r="G15" t="s">
        <v>192</v>
      </c>
      <c r="H15">
        <f>B10*Eingabe!D11</f>
        <v>4.6565598962060601</v>
      </c>
      <c r="J15" t="s">
        <v>186</v>
      </c>
      <c r="K15">
        <f>VLOOKUP(AVERAGE(K6),P47:Z112,2)*1000</f>
        <v>1049.3999999999999</v>
      </c>
      <c r="L15">
        <f>VLOOKUP(AVERAGE(L6),P47:Z112,2)*1000</f>
        <v>1043</v>
      </c>
      <c r="P15" s="108">
        <v>12</v>
      </c>
      <c r="Q15" s="108">
        <v>999.5</v>
      </c>
      <c r="R15" s="108">
        <v>50.505000000000003</v>
      </c>
      <c r="S15" s="108">
        <v>0.18060000000000001</v>
      </c>
      <c r="T15" s="108">
        <v>4.1929999999999996</v>
      </c>
      <c r="U15" s="108">
        <v>0.1142</v>
      </c>
      <c r="V15" s="108">
        <v>582.89</v>
      </c>
      <c r="W15" s="108">
        <v>1234</v>
      </c>
      <c r="X15" s="108">
        <v>1.2350000000000001</v>
      </c>
      <c r="Y15" s="108">
        <v>0.1391</v>
      </c>
      <c r="Z15" s="108">
        <v>8.8759999999999994</v>
      </c>
    </row>
    <row r="16" spans="1:26" x14ac:dyDescent="0.2">
      <c r="J16" t="s">
        <v>187</v>
      </c>
      <c r="K16">
        <f>VLOOKUP(AVERAGE(K6),P47:Z112,5)*1000</f>
        <v>3708</v>
      </c>
      <c r="L16">
        <f>VLOOKUP(AVERAGE(L6),P47:Z112,5)*1000</f>
        <v>3736</v>
      </c>
      <c r="P16" s="108">
        <v>13</v>
      </c>
      <c r="Q16" s="108">
        <v>999.38</v>
      </c>
      <c r="R16" s="108">
        <v>54.697000000000003</v>
      </c>
      <c r="S16" s="108">
        <v>0.19527</v>
      </c>
      <c r="T16" s="108">
        <v>4.1909999999999998</v>
      </c>
      <c r="U16" s="108">
        <v>0.12670000000000001</v>
      </c>
      <c r="V16" s="108">
        <v>584.89</v>
      </c>
      <c r="W16" s="108">
        <v>1200.5</v>
      </c>
      <c r="X16" s="108">
        <v>1.2010000000000001</v>
      </c>
      <c r="Y16" s="108">
        <v>0.1396</v>
      </c>
      <c r="Z16" s="108">
        <v>8.6029999999999998</v>
      </c>
    </row>
    <row r="17" spans="1:26" x14ac:dyDescent="0.2">
      <c r="A17" t="s">
        <v>193</v>
      </c>
      <c r="B17">
        <f>(Eingabe!D11-1)/2</f>
        <v>8</v>
      </c>
      <c r="G17" t="s">
        <v>193</v>
      </c>
      <c r="H17">
        <f>K23</f>
        <v>370</v>
      </c>
      <c r="P17" s="108">
        <v>14</v>
      </c>
      <c r="Q17" s="108">
        <v>999.25</v>
      </c>
      <c r="R17" s="108">
        <v>58.887999999999998</v>
      </c>
      <c r="S17" s="108">
        <v>0.20988999999999999</v>
      </c>
      <c r="T17" s="108">
        <v>4.1900000000000004</v>
      </c>
      <c r="U17" s="108">
        <v>0.1389</v>
      </c>
      <c r="V17" s="108">
        <v>586.86</v>
      </c>
      <c r="W17" s="108">
        <v>1168.3</v>
      </c>
      <c r="X17" s="108">
        <v>1.169</v>
      </c>
      <c r="Y17" s="108">
        <v>0.14019999999999999</v>
      </c>
      <c r="Z17" s="108">
        <v>8.3420000000000005</v>
      </c>
    </row>
    <row r="18" spans="1:26" x14ac:dyDescent="0.2">
      <c r="P18" s="108">
        <v>15</v>
      </c>
      <c r="Q18" s="108">
        <v>999.1</v>
      </c>
      <c r="R18" s="108">
        <v>63.078000000000003</v>
      </c>
      <c r="S18" s="108">
        <v>0.22445999999999999</v>
      </c>
      <c r="T18" s="108">
        <v>4.1890000000000001</v>
      </c>
      <c r="U18" s="108">
        <v>0.15090000000000001</v>
      </c>
      <c r="V18" s="108">
        <v>588.79999999999995</v>
      </c>
      <c r="W18" s="108">
        <v>1137.5999999999999</v>
      </c>
      <c r="X18" s="108">
        <v>1.139</v>
      </c>
      <c r="Y18" s="108">
        <v>0.14069999999999999</v>
      </c>
      <c r="Z18" s="108">
        <v>8.093</v>
      </c>
    </row>
    <row r="19" spans="1:26" x14ac:dyDescent="0.2">
      <c r="A19" t="s">
        <v>197</v>
      </c>
      <c r="B19" s="129">
        <f>Eingabe!E24/3600/(Wärmeübertrager!B17*Wärmeübertrager!B13)</f>
        <v>10.500672043010752</v>
      </c>
      <c r="G19" t="s">
        <v>194</v>
      </c>
      <c r="H19">
        <f>K25</f>
        <v>0.22704155768671894</v>
      </c>
      <c r="P19" s="108">
        <v>16</v>
      </c>
      <c r="Q19" s="108">
        <v>998.94</v>
      </c>
      <c r="R19" s="108">
        <v>67.266000000000005</v>
      </c>
      <c r="S19" s="108">
        <v>0.23896999999999999</v>
      </c>
      <c r="T19" s="108">
        <v>4.1879999999999997</v>
      </c>
      <c r="U19" s="108">
        <v>0.16250000000000001</v>
      </c>
      <c r="V19" s="108">
        <v>590.70000000000005</v>
      </c>
      <c r="W19" s="108">
        <v>1108.0999999999999</v>
      </c>
      <c r="X19" s="108">
        <v>1.109</v>
      </c>
      <c r="Y19" s="108">
        <v>0.14119999999999999</v>
      </c>
      <c r="Z19" s="108">
        <v>7.8559999999999999</v>
      </c>
    </row>
    <row r="20" spans="1:26" x14ac:dyDescent="0.2">
      <c r="J20" t="s">
        <v>182</v>
      </c>
      <c r="K20">
        <f>K9*K13*(K3-K4)</f>
        <v>2167972.9410000001</v>
      </c>
      <c r="L20">
        <f>L9*L13*(L4-L3)</f>
        <v>1744523.958333333</v>
      </c>
      <c r="P20" s="108">
        <v>17</v>
      </c>
      <c r="Q20" s="108">
        <v>998.78</v>
      </c>
      <c r="R20" s="108">
        <v>71.453999999999994</v>
      </c>
      <c r="S20" s="108">
        <v>0.25341999999999998</v>
      </c>
      <c r="T20" s="108">
        <v>4.1870000000000003</v>
      </c>
      <c r="U20" s="108">
        <v>0.1739</v>
      </c>
      <c r="V20" s="108">
        <v>592.57000000000005</v>
      </c>
      <c r="W20" s="108">
        <v>1079.8</v>
      </c>
      <c r="X20" s="108">
        <v>1.081</v>
      </c>
      <c r="Y20" s="108">
        <v>0.14169999999999999</v>
      </c>
      <c r="Z20" s="108">
        <v>7.63</v>
      </c>
    </row>
    <row r="21" spans="1:26" x14ac:dyDescent="0.2">
      <c r="J21" t="s">
        <v>184</v>
      </c>
      <c r="K21">
        <f>MAX(K20:L20)</f>
        <v>2167972.9410000001</v>
      </c>
      <c r="P21" s="108">
        <v>18</v>
      </c>
      <c r="Q21" s="108">
        <v>998.6</v>
      </c>
      <c r="R21" s="108">
        <v>75.641000000000005</v>
      </c>
      <c r="S21" s="108">
        <v>0.26783000000000001</v>
      </c>
      <c r="T21" s="108">
        <v>4.1859999999999999</v>
      </c>
      <c r="U21" s="108">
        <v>0.185</v>
      </c>
      <c r="V21" s="108">
        <v>594.41999999999996</v>
      </c>
      <c r="W21" s="108">
        <v>1052.7</v>
      </c>
      <c r="X21" s="108">
        <v>1.054</v>
      </c>
      <c r="Y21" s="108">
        <v>0.14219999999999999</v>
      </c>
      <c r="Z21" s="108">
        <v>7.4139999999999997</v>
      </c>
    </row>
    <row r="22" spans="1:26" x14ac:dyDescent="0.2">
      <c r="P22" s="108">
        <v>19</v>
      </c>
      <c r="Q22" s="108">
        <v>998.41</v>
      </c>
      <c r="R22" s="108">
        <v>79.826999999999998</v>
      </c>
      <c r="S22" s="108">
        <v>0.28217999999999999</v>
      </c>
      <c r="T22" s="108">
        <v>4.1859999999999999</v>
      </c>
      <c r="U22" s="108">
        <v>0.19589999999999999</v>
      </c>
      <c r="V22" s="108">
        <v>596.23</v>
      </c>
      <c r="W22" s="108">
        <v>1026.5999999999999</v>
      </c>
      <c r="X22" s="108">
        <v>1.028</v>
      </c>
      <c r="Y22" s="108">
        <v>0.14269999999999999</v>
      </c>
      <c r="Z22" s="108">
        <v>7.2069999999999999</v>
      </c>
    </row>
    <row r="23" spans="1:26" x14ac:dyDescent="0.2">
      <c r="J23" t="s">
        <v>193</v>
      </c>
      <c r="K23">
        <f>(L44-1)/2</f>
        <v>370</v>
      </c>
      <c r="P23" s="108">
        <v>20</v>
      </c>
      <c r="Q23" s="108">
        <v>998.21</v>
      </c>
      <c r="R23" s="108">
        <v>84.012</v>
      </c>
      <c r="S23" s="108">
        <v>0.29648000000000002</v>
      </c>
      <c r="T23" s="108">
        <v>4.1849999999999996</v>
      </c>
      <c r="U23" s="108">
        <v>0.20660000000000001</v>
      </c>
      <c r="V23" s="108">
        <v>598.01</v>
      </c>
      <c r="W23" s="108">
        <v>1001.6</v>
      </c>
      <c r="X23" s="108">
        <v>1.0029999999999999</v>
      </c>
      <c r="Y23" s="108">
        <v>0.14319999999999999</v>
      </c>
      <c r="Z23" s="108">
        <v>7.0090000000000003</v>
      </c>
    </row>
    <row r="24" spans="1:26" x14ac:dyDescent="0.2">
      <c r="P24" s="109">
        <v>21</v>
      </c>
      <c r="Q24">
        <f>AVERAGE(Q23,Q25)</f>
        <v>997.99</v>
      </c>
      <c r="R24">
        <f t="shared" ref="R24:Z24" si="0">AVERAGE(R23,R25)</f>
        <v>88.195999999999998</v>
      </c>
      <c r="S24">
        <f t="shared" si="0"/>
        <v>0.31070500000000001</v>
      </c>
      <c r="T24">
        <f t="shared" si="0"/>
        <v>4.1839999999999993</v>
      </c>
      <c r="U24">
        <f t="shared" si="0"/>
        <v>0.21695</v>
      </c>
      <c r="V24">
        <f t="shared" si="0"/>
        <v>599.75</v>
      </c>
      <c r="W24">
        <f t="shared" si="0"/>
        <v>978</v>
      </c>
      <c r="X24">
        <f t="shared" si="0"/>
        <v>0.9797499999999999</v>
      </c>
      <c r="Y24">
        <f t="shared" si="0"/>
        <v>0.14365</v>
      </c>
      <c r="Z24">
        <f t="shared" si="0"/>
        <v>6.8235000000000001</v>
      </c>
    </row>
    <row r="25" spans="1:26" x14ac:dyDescent="0.2">
      <c r="J25" t="s">
        <v>197</v>
      </c>
      <c r="K25" s="129">
        <f>Eingabe!E24/3600/(Wärmeübertrager!K23*Wärmeübertrager!H13)</f>
        <v>0.22704155768671894</v>
      </c>
      <c r="P25" s="108">
        <v>22</v>
      </c>
      <c r="Q25" s="108">
        <v>997.77</v>
      </c>
      <c r="R25" s="108">
        <v>92.38</v>
      </c>
      <c r="S25" s="108">
        <v>0.32493</v>
      </c>
      <c r="T25" s="108">
        <v>4.1829999999999998</v>
      </c>
      <c r="U25" s="108">
        <v>0.2273</v>
      </c>
      <c r="V25" s="108">
        <v>601.49</v>
      </c>
      <c r="W25" s="108">
        <v>954.4</v>
      </c>
      <c r="X25" s="108">
        <v>0.95650000000000002</v>
      </c>
      <c r="Y25" s="108">
        <v>0.14410000000000001</v>
      </c>
      <c r="Z25" s="108">
        <v>6.6379999999999999</v>
      </c>
    </row>
    <row r="26" spans="1:26" x14ac:dyDescent="0.2">
      <c r="P26" s="109">
        <v>23</v>
      </c>
      <c r="Q26">
        <f t="shared" ref="Q26:Z26" si="1">AVERAGE(Q25,Q27)</f>
        <v>997.53499999999997</v>
      </c>
      <c r="R26">
        <f t="shared" si="1"/>
        <v>96.564999999999998</v>
      </c>
      <c r="S26">
        <f t="shared" si="1"/>
        <v>0.339055</v>
      </c>
      <c r="T26">
        <f t="shared" si="1"/>
        <v>4.1825000000000001</v>
      </c>
      <c r="U26">
        <f t="shared" si="1"/>
        <v>0.23725000000000002</v>
      </c>
      <c r="V26">
        <f t="shared" si="1"/>
        <v>603.18000000000006</v>
      </c>
      <c r="W26">
        <f t="shared" si="1"/>
        <v>932.54</v>
      </c>
      <c r="X26">
        <f t="shared" si="1"/>
        <v>0.93480000000000008</v>
      </c>
      <c r="Y26">
        <f t="shared" si="1"/>
        <v>0.14455000000000001</v>
      </c>
      <c r="Z26">
        <f t="shared" si="1"/>
        <v>6.4674999999999994</v>
      </c>
    </row>
    <row r="27" spans="1:26" x14ac:dyDescent="0.2">
      <c r="P27" s="108">
        <v>24</v>
      </c>
      <c r="Q27" s="108">
        <v>997.3</v>
      </c>
      <c r="R27" s="108">
        <v>100.75</v>
      </c>
      <c r="S27" s="108">
        <v>0.35317999999999999</v>
      </c>
      <c r="T27" s="108">
        <v>4.1820000000000004</v>
      </c>
      <c r="U27" s="108">
        <v>0.2472</v>
      </c>
      <c r="V27" s="108">
        <v>604.87</v>
      </c>
      <c r="W27" s="108">
        <v>910.68</v>
      </c>
      <c r="X27" s="108">
        <v>0.91310000000000002</v>
      </c>
      <c r="Y27" s="108">
        <v>0.14499999999999999</v>
      </c>
      <c r="Z27" s="108">
        <v>6.2969999999999997</v>
      </c>
    </row>
    <row r="28" spans="1:26" x14ac:dyDescent="0.2">
      <c r="P28" s="108">
        <v>25</v>
      </c>
      <c r="Q28" s="108">
        <v>997.05</v>
      </c>
      <c r="R28" s="108">
        <v>104.93</v>
      </c>
      <c r="S28" s="108">
        <v>0.36723</v>
      </c>
      <c r="T28" s="108">
        <v>4.1820000000000004</v>
      </c>
      <c r="U28" s="108">
        <v>0.25690000000000002</v>
      </c>
      <c r="V28" s="108">
        <v>606.52</v>
      </c>
      <c r="W28" s="108">
        <v>890.02</v>
      </c>
      <c r="X28" s="108">
        <v>0.89270000000000005</v>
      </c>
      <c r="Y28" s="108">
        <v>0.14549999999999999</v>
      </c>
      <c r="Z28" s="108">
        <v>6.1369999999999996</v>
      </c>
    </row>
    <row r="29" spans="1:26" x14ac:dyDescent="0.2">
      <c r="P29" s="108">
        <v>26</v>
      </c>
      <c r="Q29" s="108">
        <v>996.79</v>
      </c>
      <c r="R29" s="108">
        <v>109.11</v>
      </c>
      <c r="S29" s="108">
        <v>0.38123000000000001</v>
      </c>
      <c r="T29" s="108">
        <v>4.181</v>
      </c>
      <c r="U29" s="108">
        <v>0.26640000000000003</v>
      </c>
      <c r="V29" s="108">
        <v>608.14</v>
      </c>
      <c r="W29" s="108">
        <v>870.11</v>
      </c>
      <c r="X29" s="108">
        <v>0.87290000000000001</v>
      </c>
      <c r="Y29" s="108">
        <v>0.1459</v>
      </c>
      <c r="Z29" s="108">
        <v>5.9829999999999997</v>
      </c>
    </row>
    <row r="30" spans="1:26" x14ac:dyDescent="0.2">
      <c r="P30" s="109">
        <v>27</v>
      </c>
      <c r="Q30">
        <f t="shared" ref="Q30:Z30" si="2">AVERAGE(Q29,Q31)</f>
        <v>996.51499999999999</v>
      </c>
      <c r="R30">
        <f t="shared" si="2"/>
        <v>113.28999999999999</v>
      </c>
      <c r="S30">
        <f t="shared" si="2"/>
        <v>0.39516000000000001</v>
      </c>
      <c r="T30">
        <f t="shared" si="2"/>
        <v>4.181</v>
      </c>
      <c r="U30">
        <f t="shared" si="2"/>
        <v>0.2757</v>
      </c>
      <c r="V30">
        <f t="shared" si="2"/>
        <v>609.72499999999991</v>
      </c>
      <c r="W30">
        <f t="shared" si="2"/>
        <v>851.245</v>
      </c>
      <c r="X30">
        <f t="shared" si="2"/>
        <v>0.85420000000000007</v>
      </c>
      <c r="Y30">
        <f t="shared" si="2"/>
        <v>0.14635000000000001</v>
      </c>
      <c r="Z30">
        <f t="shared" si="2"/>
        <v>5.8375000000000004</v>
      </c>
    </row>
    <row r="31" spans="1:26" x14ac:dyDescent="0.2">
      <c r="P31" s="108">
        <v>28</v>
      </c>
      <c r="Q31" s="108">
        <v>996.24</v>
      </c>
      <c r="R31" s="108">
        <v>117.47</v>
      </c>
      <c r="S31" s="108">
        <v>0.40909000000000001</v>
      </c>
      <c r="T31" s="108">
        <v>4.181</v>
      </c>
      <c r="U31" s="108">
        <v>0.28499999999999998</v>
      </c>
      <c r="V31" s="108">
        <v>611.30999999999995</v>
      </c>
      <c r="W31" s="108">
        <v>832.38</v>
      </c>
      <c r="X31" s="108">
        <v>0.83550000000000002</v>
      </c>
      <c r="Y31" s="108">
        <v>0.14680000000000001</v>
      </c>
      <c r="Z31" s="108">
        <v>5.6920000000000002</v>
      </c>
    </row>
    <row r="32" spans="1:26" x14ac:dyDescent="0.2">
      <c r="P32" s="110">
        <v>29</v>
      </c>
      <c r="Q32">
        <f t="shared" ref="Q32:Z32" si="3">AVERAGE(Q31,Q33)</f>
        <v>995.94499999999994</v>
      </c>
      <c r="R32">
        <f t="shared" si="3"/>
        <v>121.65</v>
      </c>
      <c r="S32">
        <f t="shared" si="3"/>
        <v>0.422925</v>
      </c>
      <c r="T32">
        <f t="shared" si="3"/>
        <v>4.1805000000000003</v>
      </c>
      <c r="U32">
        <f t="shared" si="3"/>
        <v>0.29394999999999999</v>
      </c>
      <c r="V32">
        <f t="shared" si="3"/>
        <v>612.84999999999991</v>
      </c>
      <c r="W32">
        <f t="shared" si="3"/>
        <v>814.8</v>
      </c>
      <c r="X32">
        <f t="shared" si="3"/>
        <v>0.81810000000000005</v>
      </c>
      <c r="Y32">
        <f t="shared" si="3"/>
        <v>0.1472</v>
      </c>
      <c r="Z32">
        <f t="shared" si="3"/>
        <v>5.5579999999999998</v>
      </c>
    </row>
    <row r="33" spans="4:26" x14ac:dyDescent="0.2">
      <c r="D33" s="111"/>
      <c r="J33" s="111" t="s">
        <v>188</v>
      </c>
      <c r="K33">
        <f>((K3-K6)-(K4-K5))/LN((K3-K6)/(K4-K5))</f>
        <v>7.4402639507841801</v>
      </c>
      <c r="L33">
        <f>((L5-L4)-(L6-L3))/LN((L5-L4)/(L6-L3))</f>
        <v>6.1843233112693969</v>
      </c>
      <c r="P33" s="108">
        <v>30</v>
      </c>
      <c r="Q33" s="108">
        <v>995.65</v>
      </c>
      <c r="R33" s="108">
        <v>125.83</v>
      </c>
      <c r="S33" s="108">
        <v>0.43675999999999998</v>
      </c>
      <c r="T33" s="108">
        <v>4.18</v>
      </c>
      <c r="U33" s="108">
        <v>0.3029</v>
      </c>
      <c r="V33" s="108">
        <v>614.39</v>
      </c>
      <c r="W33" s="108">
        <v>797.22</v>
      </c>
      <c r="X33" s="108">
        <v>0.80069999999999997</v>
      </c>
      <c r="Y33" s="108">
        <v>0.14760000000000001</v>
      </c>
      <c r="Z33" s="108">
        <v>5.4240000000000004</v>
      </c>
    </row>
    <row r="34" spans="4:26" x14ac:dyDescent="0.2">
      <c r="P34" s="109">
        <v>31</v>
      </c>
      <c r="Q34">
        <f t="shared" ref="Q34:Z34" si="4">AVERAGE(Q33,Q35)</f>
        <v>995.33999999999992</v>
      </c>
      <c r="R34">
        <f t="shared" si="4"/>
        <v>130.01</v>
      </c>
      <c r="S34">
        <f t="shared" si="4"/>
        <v>0.45050499999999999</v>
      </c>
      <c r="T34">
        <f t="shared" si="4"/>
        <v>4.18</v>
      </c>
      <c r="U34">
        <f t="shared" si="4"/>
        <v>0.31154999999999999</v>
      </c>
      <c r="V34">
        <f t="shared" si="4"/>
        <v>615.88499999999999</v>
      </c>
      <c r="W34">
        <f t="shared" si="4"/>
        <v>780.81500000000005</v>
      </c>
      <c r="X34">
        <f t="shared" si="4"/>
        <v>0.78444999999999998</v>
      </c>
      <c r="Y34">
        <f t="shared" si="4"/>
        <v>0.14805000000000001</v>
      </c>
      <c r="Z34">
        <f t="shared" si="4"/>
        <v>5.2995000000000001</v>
      </c>
    </row>
    <row r="35" spans="4:26" x14ac:dyDescent="0.2">
      <c r="J35" t="s">
        <v>189</v>
      </c>
      <c r="K35">
        <v>3000</v>
      </c>
      <c r="L35" t="s">
        <v>198</v>
      </c>
      <c r="P35" s="108">
        <v>32</v>
      </c>
      <c r="Q35" s="108">
        <v>995.03</v>
      </c>
      <c r="R35" s="108">
        <v>134.19</v>
      </c>
      <c r="S35" s="108">
        <v>0.46425</v>
      </c>
      <c r="T35" s="108">
        <v>4.18</v>
      </c>
      <c r="U35" s="108">
        <v>0.32019999999999998</v>
      </c>
      <c r="V35" s="108">
        <v>617.38</v>
      </c>
      <c r="W35" s="108">
        <v>764.41</v>
      </c>
      <c r="X35" s="108">
        <v>0.76819999999999999</v>
      </c>
      <c r="Y35" s="108">
        <v>0.14849999999999999</v>
      </c>
      <c r="Z35" s="108">
        <v>5.1749999999999998</v>
      </c>
    </row>
    <row r="36" spans="4:26" x14ac:dyDescent="0.2">
      <c r="J36" t="s">
        <v>199</v>
      </c>
      <c r="K36" s="82">
        <v>1.08</v>
      </c>
      <c r="L36" t="s">
        <v>198</v>
      </c>
      <c r="P36" s="110">
        <v>33</v>
      </c>
      <c r="Q36">
        <f t="shared" ref="Q36:Z36" si="5">AVERAGE(Q35,Q37)</f>
        <v>994.70499999999993</v>
      </c>
      <c r="R36">
        <f t="shared" si="5"/>
        <v>138.37</v>
      </c>
      <c r="S36">
        <f t="shared" si="5"/>
        <v>0.47789999999999999</v>
      </c>
      <c r="T36">
        <f t="shared" si="5"/>
        <v>4.1795</v>
      </c>
      <c r="U36">
        <f t="shared" si="5"/>
        <v>0.32865</v>
      </c>
      <c r="V36">
        <f t="shared" si="5"/>
        <v>618.83500000000004</v>
      </c>
      <c r="W36">
        <f t="shared" si="5"/>
        <v>749.06999999999994</v>
      </c>
      <c r="X36">
        <f t="shared" si="5"/>
        <v>0.75305</v>
      </c>
      <c r="Y36">
        <f t="shared" si="5"/>
        <v>0.14889999999999998</v>
      </c>
      <c r="Z36">
        <f t="shared" si="5"/>
        <v>5.0589999999999993</v>
      </c>
    </row>
    <row r="37" spans="4:26" x14ac:dyDescent="0.2">
      <c r="P37" s="108">
        <v>34</v>
      </c>
      <c r="Q37" s="108">
        <v>994.38</v>
      </c>
      <c r="R37" s="108">
        <v>142.55000000000001</v>
      </c>
      <c r="S37" s="108">
        <v>0.49154999999999999</v>
      </c>
      <c r="T37" s="108">
        <v>4.1790000000000003</v>
      </c>
      <c r="U37" s="108">
        <v>0.33710000000000001</v>
      </c>
      <c r="V37" s="108">
        <v>620.29</v>
      </c>
      <c r="W37" s="108">
        <v>733.73</v>
      </c>
      <c r="X37" s="108">
        <v>0.7379</v>
      </c>
      <c r="Y37" s="108">
        <v>0.14929999999999999</v>
      </c>
      <c r="Z37" s="108">
        <v>4.9429999999999996</v>
      </c>
    </row>
    <row r="38" spans="4:26" x14ac:dyDescent="0.2">
      <c r="J38" t="s">
        <v>200</v>
      </c>
      <c r="K38">
        <f>K20/K33/K35</f>
        <v>97.127958333230126</v>
      </c>
      <c r="L38">
        <f>L20/L33/K35</f>
        <v>94.029363738382955</v>
      </c>
      <c r="P38" s="109">
        <v>35</v>
      </c>
      <c r="Q38">
        <f t="shared" ref="Q38:Z38" si="6">AVERAGE(Q37,Q39)</f>
        <v>994.03500000000008</v>
      </c>
      <c r="R38">
        <f t="shared" si="6"/>
        <v>146.73000000000002</v>
      </c>
      <c r="S38">
        <f t="shared" si="6"/>
        <v>0.50510999999999995</v>
      </c>
      <c r="T38">
        <f t="shared" si="6"/>
        <v>4.1790000000000003</v>
      </c>
      <c r="U38">
        <f t="shared" si="6"/>
        <v>0.3453</v>
      </c>
      <c r="V38">
        <f t="shared" si="6"/>
        <v>621.69499999999994</v>
      </c>
      <c r="W38">
        <f t="shared" si="6"/>
        <v>719.36</v>
      </c>
      <c r="X38">
        <f t="shared" si="6"/>
        <v>0.72370000000000001</v>
      </c>
      <c r="Y38">
        <f t="shared" si="6"/>
        <v>0.1497</v>
      </c>
      <c r="Z38">
        <f t="shared" si="6"/>
        <v>4.8354999999999997</v>
      </c>
    </row>
    <row r="39" spans="4:26" x14ac:dyDescent="0.2">
      <c r="J39" t="s">
        <v>201</v>
      </c>
      <c r="K39">
        <f>K38+K38*K36</f>
        <v>202.02615333311866</v>
      </c>
      <c r="L39">
        <f>L38+L38*K36</f>
        <v>195.58107657583656</v>
      </c>
      <c r="P39" s="108">
        <v>36</v>
      </c>
      <c r="Q39" s="108">
        <v>993.69</v>
      </c>
      <c r="R39" s="108">
        <v>150.91</v>
      </c>
      <c r="S39" s="108">
        <v>0.51866999999999996</v>
      </c>
      <c r="T39" s="108">
        <v>4.1790000000000003</v>
      </c>
      <c r="U39" s="108">
        <v>0.35349999999999998</v>
      </c>
      <c r="V39" s="108">
        <v>623.1</v>
      </c>
      <c r="W39" s="108">
        <v>704.99</v>
      </c>
      <c r="X39" s="108">
        <v>0.70950000000000002</v>
      </c>
      <c r="Y39" s="108">
        <v>0.15010000000000001</v>
      </c>
      <c r="Z39" s="108">
        <v>4.7279999999999998</v>
      </c>
    </row>
    <row r="40" spans="4:26" x14ac:dyDescent="0.2">
      <c r="P40" s="110">
        <v>37</v>
      </c>
      <c r="Q40">
        <f t="shared" ref="Q40:Z40" si="7">AVERAGE(Q39,Q41)</f>
        <v>993.33</v>
      </c>
      <c r="R40">
        <f t="shared" si="7"/>
        <v>155.09</v>
      </c>
      <c r="S40">
        <f t="shared" si="7"/>
        <v>0.53214499999999998</v>
      </c>
      <c r="T40">
        <f t="shared" si="7"/>
        <v>4.1790000000000003</v>
      </c>
      <c r="U40">
        <f t="shared" si="7"/>
        <v>0.36144999999999999</v>
      </c>
      <c r="V40">
        <f t="shared" si="7"/>
        <v>624.47</v>
      </c>
      <c r="W40">
        <f t="shared" si="7"/>
        <v>691.51499999999999</v>
      </c>
      <c r="X40">
        <f t="shared" si="7"/>
        <v>0.69615000000000005</v>
      </c>
      <c r="Y40">
        <f t="shared" si="7"/>
        <v>0.15045</v>
      </c>
      <c r="Z40">
        <f t="shared" si="7"/>
        <v>4.6274999999999995</v>
      </c>
    </row>
    <row r="41" spans="4:26" x14ac:dyDescent="0.2">
      <c r="J41" t="s">
        <v>201</v>
      </c>
      <c r="L41">
        <f>MAX(K39:L39)</f>
        <v>202.02615333311866</v>
      </c>
      <c r="P41" s="108">
        <v>38</v>
      </c>
      <c r="Q41" s="108">
        <v>992.97</v>
      </c>
      <c r="R41" s="108">
        <v>159.27000000000001</v>
      </c>
      <c r="S41" s="108">
        <v>0.54561999999999999</v>
      </c>
      <c r="T41" s="108">
        <v>4.1790000000000003</v>
      </c>
      <c r="U41" s="108">
        <v>0.36940000000000001</v>
      </c>
      <c r="V41" s="108">
        <v>625.84</v>
      </c>
      <c r="W41" s="108">
        <v>678.04</v>
      </c>
      <c r="X41" s="108">
        <v>0.68279999999999996</v>
      </c>
      <c r="Y41" s="108">
        <v>0.15079999999999999</v>
      </c>
      <c r="Z41" s="108">
        <v>4.5270000000000001</v>
      </c>
    </row>
    <row r="42" spans="4:26" x14ac:dyDescent="0.2">
      <c r="P42" s="110">
        <v>39</v>
      </c>
      <c r="Q42">
        <f t="shared" ref="Q42:Z42" si="8">AVERAGE(Q41,Q43)</f>
        <v>992.59500000000003</v>
      </c>
      <c r="R42">
        <f t="shared" si="8"/>
        <v>163.44499999999999</v>
      </c>
      <c r="S42">
        <f t="shared" si="8"/>
        <v>0.55900499999999997</v>
      </c>
      <c r="T42">
        <f t="shared" si="8"/>
        <v>4.1790000000000003</v>
      </c>
      <c r="U42">
        <f t="shared" si="8"/>
        <v>0.37714999999999999</v>
      </c>
      <c r="V42">
        <f t="shared" si="8"/>
        <v>627.16499999999996</v>
      </c>
      <c r="W42">
        <f t="shared" si="8"/>
        <v>665.38499999999999</v>
      </c>
      <c r="X42">
        <f t="shared" si="8"/>
        <v>0.67030000000000001</v>
      </c>
      <c r="Y42">
        <f t="shared" si="8"/>
        <v>0.1512</v>
      </c>
      <c r="Z42">
        <f t="shared" si="8"/>
        <v>4.4335000000000004</v>
      </c>
    </row>
    <row r="43" spans="4:26" x14ac:dyDescent="0.2">
      <c r="J43" t="s">
        <v>203</v>
      </c>
      <c r="L43">
        <f>ROUNDUP(L41/B10,0)</f>
        <v>738</v>
      </c>
      <c r="P43" s="108">
        <v>40</v>
      </c>
      <c r="Q43" s="108">
        <v>992.22</v>
      </c>
      <c r="R43" s="108">
        <v>167.62</v>
      </c>
      <c r="S43" s="108">
        <v>0.57238999999999995</v>
      </c>
      <c r="T43" s="108">
        <v>4.1790000000000003</v>
      </c>
      <c r="U43" s="108">
        <v>0.38490000000000002</v>
      </c>
      <c r="V43" s="108">
        <v>628.49</v>
      </c>
      <c r="W43" s="108">
        <v>652.73</v>
      </c>
      <c r="X43" s="108">
        <v>0.65780000000000005</v>
      </c>
      <c r="Y43" s="108">
        <v>0.15160000000000001</v>
      </c>
      <c r="Z43" s="108">
        <v>4.34</v>
      </c>
    </row>
    <row r="44" spans="4:26" x14ac:dyDescent="0.2">
      <c r="J44" t="s">
        <v>202</v>
      </c>
      <c r="L44">
        <f>IF(ISEVEN(L43),L43+1+2,L43+2)</f>
        <v>741</v>
      </c>
    </row>
    <row r="46" spans="4:26" x14ac:dyDescent="0.2">
      <c r="P46" t="s">
        <v>83</v>
      </c>
      <c r="Q46" t="s">
        <v>166</v>
      </c>
      <c r="R46" t="s">
        <v>167</v>
      </c>
      <c r="S46" t="s">
        <v>168</v>
      </c>
      <c r="T46" t="s">
        <v>169</v>
      </c>
      <c r="U46" t="s">
        <v>170</v>
      </c>
      <c r="V46" t="s">
        <v>171</v>
      </c>
      <c r="W46" t="s">
        <v>172</v>
      </c>
      <c r="X46" t="s">
        <v>173</v>
      </c>
      <c r="Y46" t="s">
        <v>174</v>
      </c>
      <c r="Z46" t="s">
        <v>156</v>
      </c>
    </row>
    <row r="47" spans="4:26" x14ac:dyDescent="0.2">
      <c r="P47">
        <v>-15</v>
      </c>
      <c r="Q47">
        <v>1.0580000000000001</v>
      </c>
      <c r="T47">
        <v>3.68</v>
      </c>
      <c r="V47">
        <v>0.47499999999999998</v>
      </c>
      <c r="X47">
        <v>9.0399999999999991</v>
      </c>
    </row>
    <row r="48" spans="4:26" x14ac:dyDescent="0.2">
      <c r="P48">
        <v>-14</v>
      </c>
      <c r="Q48">
        <v>1.0576000000000001</v>
      </c>
      <c r="T48">
        <v>3.68</v>
      </c>
      <c r="V48">
        <v>0.47519999999999996</v>
      </c>
      <c r="X48">
        <v>8.6199999999999992</v>
      </c>
    </row>
    <row r="49" spans="16:24" x14ac:dyDescent="0.2">
      <c r="P49">
        <v>-13</v>
      </c>
      <c r="Q49">
        <v>1.0572000000000001</v>
      </c>
      <c r="T49">
        <v>3.68</v>
      </c>
      <c r="V49">
        <v>0.47539999999999999</v>
      </c>
      <c r="X49">
        <v>8.1999999999999993</v>
      </c>
    </row>
    <row r="50" spans="16:24" x14ac:dyDescent="0.2">
      <c r="P50">
        <v>-12</v>
      </c>
      <c r="Q50">
        <v>1.0568</v>
      </c>
      <c r="T50">
        <v>3.68</v>
      </c>
      <c r="V50">
        <v>0.47559999999999997</v>
      </c>
      <c r="X50">
        <v>7.7799999999999994</v>
      </c>
    </row>
    <row r="51" spans="16:24" x14ac:dyDescent="0.2">
      <c r="P51">
        <v>-11</v>
      </c>
      <c r="Q51">
        <v>1.0564</v>
      </c>
      <c r="T51">
        <v>3.68</v>
      </c>
      <c r="V51">
        <v>0.4758</v>
      </c>
      <c r="X51">
        <v>7.36</v>
      </c>
    </row>
    <row r="52" spans="16:24" x14ac:dyDescent="0.2">
      <c r="P52">
        <v>-10</v>
      </c>
      <c r="Q52">
        <v>1.056</v>
      </c>
      <c r="T52">
        <v>3.68</v>
      </c>
      <c r="V52">
        <v>0.47599999999999998</v>
      </c>
      <c r="X52">
        <v>6.94</v>
      </c>
    </row>
    <row r="53" spans="16:24" x14ac:dyDescent="0.2">
      <c r="P53">
        <v>-9</v>
      </c>
      <c r="Q53">
        <v>1.0555000000000001</v>
      </c>
      <c r="T53">
        <v>3.6820000000000004</v>
      </c>
      <c r="V53">
        <v>0.47619999999999996</v>
      </c>
      <c r="X53">
        <v>6.6840000000000002</v>
      </c>
    </row>
    <row r="54" spans="16:24" x14ac:dyDescent="0.2">
      <c r="P54">
        <v>-8</v>
      </c>
      <c r="Q54">
        <v>1.0549999999999999</v>
      </c>
      <c r="T54">
        <v>3.6840000000000002</v>
      </c>
      <c r="V54">
        <v>0.47639999999999999</v>
      </c>
      <c r="X54">
        <v>6.4279999999999999</v>
      </c>
    </row>
    <row r="55" spans="16:24" x14ac:dyDescent="0.2">
      <c r="P55">
        <v>-7</v>
      </c>
      <c r="Q55">
        <v>1.0545</v>
      </c>
      <c r="T55">
        <v>3.6859999999999999</v>
      </c>
      <c r="V55">
        <v>0.47659999999999997</v>
      </c>
      <c r="X55">
        <v>6.1720000000000006</v>
      </c>
    </row>
    <row r="56" spans="16:24" x14ac:dyDescent="0.2">
      <c r="P56">
        <v>-6</v>
      </c>
      <c r="Q56">
        <v>1.054</v>
      </c>
      <c r="T56">
        <v>3.6880000000000002</v>
      </c>
      <c r="V56">
        <v>0.4768</v>
      </c>
      <c r="X56">
        <v>5.9160000000000004</v>
      </c>
    </row>
    <row r="57" spans="16:24" x14ac:dyDescent="0.2">
      <c r="P57">
        <v>-5</v>
      </c>
      <c r="Q57">
        <v>1.0535000000000001</v>
      </c>
      <c r="T57">
        <v>3.6900000000000004</v>
      </c>
      <c r="V57">
        <v>0.47699999999999998</v>
      </c>
      <c r="X57">
        <v>5.66</v>
      </c>
    </row>
    <row r="58" spans="16:24" x14ac:dyDescent="0.2">
      <c r="P58">
        <v>-4</v>
      </c>
      <c r="Q58">
        <v>1.0529999999999999</v>
      </c>
      <c r="T58">
        <v>3.6920000000000002</v>
      </c>
      <c r="V58">
        <v>0.47719999999999996</v>
      </c>
      <c r="X58">
        <v>5.4039999999999999</v>
      </c>
    </row>
    <row r="59" spans="16:24" x14ac:dyDescent="0.2">
      <c r="P59">
        <v>-3</v>
      </c>
      <c r="Q59">
        <v>1.0525</v>
      </c>
      <c r="T59">
        <v>3.694</v>
      </c>
      <c r="V59">
        <v>0.47739999999999999</v>
      </c>
      <c r="X59">
        <v>5.1479999999999997</v>
      </c>
    </row>
    <row r="60" spans="16:24" x14ac:dyDescent="0.2">
      <c r="P60">
        <v>-2</v>
      </c>
      <c r="Q60">
        <v>1.052</v>
      </c>
      <c r="T60">
        <v>3.6960000000000002</v>
      </c>
      <c r="V60">
        <v>0.47759999999999997</v>
      </c>
      <c r="X60">
        <v>4.8919999999999995</v>
      </c>
    </row>
    <row r="61" spans="16:24" x14ac:dyDescent="0.2">
      <c r="P61">
        <v>-1</v>
      </c>
      <c r="Q61">
        <v>1.0514999999999999</v>
      </c>
      <c r="T61">
        <v>3.6980000000000004</v>
      </c>
      <c r="V61">
        <v>0.4778</v>
      </c>
      <c r="X61">
        <v>4.6359999999999992</v>
      </c>
    </row>
    <row r="62" spans="16:24" x14ac:dyDescent="0.2">
      <c r="P62">
        <v>0</v>
      </c>
      <c r="Q62">
        <v>1.0509999999999999</v>
      </c>
      <c r="T62">
        <v>3.7</v>
      </c>
      <c r="V62">
        <v>0.47799999999999998</v>
      </c>
      <c r="X62">
        <v>4.38</v>
      </c>
    </row>
    <row r="63" spans="16:24" x14ac:dyDescent="0.2">
      <c r="P63">
        <v>1</v>
      </c>
      <c r="Q63">
        <v>1.0506</v>
      </c>
      <c r="T63">
        <v>3.702</v>
      </c>
      <c r="V63">
        <v>0.4783</v>
      </c>
      <c r="X63">
        <v>4.2409999999999997</v>
      </c>
    </row>
    <row r="64" spans="16:24" x14ac:dyDescent="0.2">
      <c r="P64">
        <v>2</v>
      </c>
      <c r="Q64">
        <v>1.0502</v>
      </c>
      <c r="T64">
        <v>3.7040000000000002</v>
      </c>
      <c r="V64">
        <v>0.47859999999999997</v>
      </c>
      <c r="X64">
        <v>4.1020000000000003</v>
      </c>
    </row>
    <row r="65" spans="16:24" x14ac:dyDescent="0.2">
      <c r="P65">
        <v>3</v>
      </c>
      <c r="Q65">
        <v>1.0497999999999998</v>
      </c>
      <c r="T65">
        <v>3.7060000000000004</v>
      </c>
      <c r="V65">
        <v>0.47889999999999999</v>
      </c>
      <c r="X65">
        <v>3.9630000000000001</v>
      </c>
    </row>
    <row r="66" spans="16:24" x14ac:dyDescent="0.2">
      <c r="P66">
        <v>4</v>
      </c>
      <c r="Q66">
        <v>1.0493999999999999</v>
      </c>
      <c r="T66">
        <v>3.7080000000000002</v>
      </c>
      <c r="V66">
        <v>0.47919999999999996</v>
      </c>
      <c r="X66">
        <v>3.8239999999999998</v>
      </c>
    </row>
    <row r="67" spans="16:24" x14ac:dyDescent="0.2">
      <c r="P67">
        <v>5</v>
      </c>
      <c r="Q67">
        <v>1.0489999999999999</v>
      </c>
      <c r="T67">
        <v>3.71</v>
      </c>
      <c r="V67">
        <v>0.47949999999999998</v>
      </c>
      <c r="X67">
        <v>3.6850000000000001</v>
      </c>
    </row>
    <row r="68" spans="16:24" x14ac:dyDescent="0.2">
      <c r="P68">
        <v>6</v>
      </c>
      <c r="Q68">
        <v>1.0486</v>
      </c>
      <c r="T68">
        <v>3.7120000000000002</v>
      </c>
      <c r="V68">
        <v>0.4798</v>
      </c>
      <c r="X68">
        <v>3.5460000000000003</v>
      </c>
    </row>
    <row r="69" spans="16:24" x14ac:dyDescent="0.2">
      <c r="P69">
        <v>7</v>
      </c>
      <c r="Q69">
        <v>1.0482</v>
      </c>
      <c r="T69">
        <v>3.7140000000000004</v>
      </c>
      <c r="V69">
        <v>0.48009999999999997</v>
      </c>
      <c r="X69">
        <v>3.407</v>
      </c>
    </row>
    <row r="70" spans="16:24" x14ac:dyDescent="0.2">
      <c r="P70">
        <v>8</v>
      </c>
      <c r="Q70">
        <v>1.0477999999999998</v>
      </c>
      <c r="T70">
        <v>3.7160000000000002</v>
      </c>
      <c r="V70">
        <v>0.48039999999999999</v>
      </c>
      <c r="X70">
        <v>3.2680000000000002</v>
      </c>
    </row>
    <row r="71" spans="16:24" x14ac:dyDescent="0.2">
      <c r="P71">
        <v>9</v>
      </c>
      <c r="Q71">
        <v>1.0473999999999999</v>
      </c>
      <c r="T71">
        <v>3.718</v>
      </c>
      <c r="V71">
        <v>0.48069999999999996</v>
      </c>
      <c r="X71">
        <v>3.1290000000000004</v>
      </c>
    </row>
    <row r="72" spans="16:24" x14ac:dyDescent="0.2">
      <c r="P72">
        <v>10</v>
      </c>
      <c r="Q72">
        <v>1.0469999999999999</v>
      </c>
      <c r="T72">
        <v>3.72</v>
      </c>
      <c r="V72">
        <v>0.48099999999999998</v>
      </c>
      <c r="X72">
        <v>2.99</v>
      </c>
    </row>
    <row r="73" spans="16:24" x14ac:dyDescent="0.2">
      <c r="P73">
        <v>11</v>
      </c>
      <c r="Q73">
        <v>1.0465</v>
      </c>
      <c r="T73">
        <v>3.7220000000000004</v>
      </c>
      <c r="V73">
        <v>0.51119999999999999</v>
      </c>
      <c r="X73">
        <v>2.9090000000000003</v>
      </c>
    </row>
    <row r="74" spans="16:24" x14ac:dyDescent="0.2">
      <c r="P74">
        <v>12</v>
      </c>
      <c r="Q74">
        <v>1.046</v>
      </c>
      <c r="T74">
        <v>3.7240000000000002</v>
      </c>
      <c r="V74">
        <v>0.54139999999999999</v>
      </c>
      <c r="X74">
        <v>2.8280000000000003</v>
      </c>
    </row>
    <row r="75" spans="16:24" x14ac:dyDescent="0.2">
      <c r="P75">
        <v>13</v>
      </c>
      <c r="Q75">
        <v>1.0454999999999999</v>
      </c>
      <c r="T75">
        <v>3.726</v>
      </c>
      <c r="V75">
        <v>0.5716</v>
      </c>
      <c r="X75">
        <v>2.7470000000000003</v>
      </c>
    </row>
    <row r="76" spans="16:24" x14ac:dyDescent="0.2">
      <c r="P76">
        <v>14</v>
      </c>
      <c r="Q76">
        <v>1.0449999999999999</v>
      </c>
      <c r="T76">
        <v>3.7280000000000002</v>
      </c>
      <c r="V76">
        <v>0.6018</v>
      </c>
      <c r="X76">
        <v>2.6660000000000004</v>
      </c>
    </row>
    <row r="77" spans="16:24" x14ac:dyDescent="0.2">
      <c r="P77">
        <v>15</v>
      </c>
      <c r="Q77">
        <v>1.0445</v>
      </c>
      <c r="T77">
        <v>3.7300000000000004</v>
      </c>
      <c r="V77">
        <v>0.63200000000000001</v>
      </c>
      <c r="X77">
        <v>2.585</v>
      </c>
    </row>
    <row r="78" spans="16:24" x14ac:dyDescent="0.2">
      <c r="P78">
        <v>16</v>
      </c>
      <c r="Q78">
        <v>1.044</v>
      </c>
      <c r="T78">
        <v>3.7320000000000002</v>
      </c>
      <c r="V78">
        <v>0.66220000000000001</v>
      </c>
      <c r="X78">
        <v>2.5040000000000004</v>
      </c>
    </row>
    <row r="79" spans="16:24" x14ac:dyDescent="0.2">
      <c r="P79">
        <v>17</v>
      </c>
      <c r="Q79">
        <v>1.0435000000000001</v>
      </c>
      <c r="T79">
        <v>3.734</v>
      </c>
      <c r="V79">
        <v>0.69240000000000002</v>
      </c>
      <c r="X79">
        <v>2.423</v>
      </c>
    </row>
    <row r="80" spans="16:24" x14ac:dyDescent="0.2">
      <c r="P80">
        <v>18</v>
      </c>
      <c r="Q80">
        <v>1.0429999999999999</v>
      </c>
      <c r="T80">
        <v>3.7360000000000002</v>
      </c>
      <c r="V80">
        <v>0.72260000000000002</v>
      </c>
      <c r="X80">
        <v>2.3420000000000001</v>
      </c>
    </row>
    <row r="81" spans="16:24" x14ac:dyDescent="0.2">
      <c r="P81">
        <v>19</v>
      </c>
      <c r="Q81">
        <v>1.0425</v>
      </c>
      <c r="T81">
        <v>3.7380000000000004</v>
      </c>
      <c r="V81">
        <v>0.75280000000000002</v>
      </c>
      <c r="X81">
        <v>2.2610000000000001</v>
      </c>
    </row>
    <row r="82" spans="16:24" x14ac:dyDescent="0.2">
      <c r="P82">
        <v>20</v>
      </c>
      <c r="Q82">
        <v>1.042</v>
      </c>
      <c r="T82">
        <v>3.74</v>
      </c>
      <c r="V82">
        <v>0.78300000000000003</v>
      </c>
      <c r="X82">
        <v>2.1800000000000002</v>
      </c>
    </row>
    <row r="83" spans="16:24" x14ac:dyDescent="0.2">
      <c r="P83">
        <v>21</v>
      </c>
      <c r="Q83">
        <v>1.0415000000000001</v>
      </c>
      <c r="T83">
        <v>3.742</v>
      </c>
      <c r="V83">
        <v>0.76829999999999998</v>
      </c>
      <c r="X83">
        <v>2.1385000000000001</v>
      </c>
    </row>
    <row r="84" spans="16:24" x14ac:dyDescent="0.2">
      <c r="P84">
        <v>22</v>
      </c>
      <c r="Q84">
        <v>1.0409999999999999</v>
      </c>
      <c r="T84">
        <v>3.7440000000000002</v>
      </c>
      <c r="V84">
        <v>0.75360000000000005</v>
      </c>
      <c r="X84">
        <v>2.097</v>
      </c>
    </row>
    <row r="85" spans="16:24" x14ac:dyDescent="0.2">
      <c r="P85">
        <v>23</v>
      </c>
      <c r="Q85">
        <v>1.0405</v>
      </c>
      <c r="T85">
        <v>3.746</v>
      </c>
      <c r="V85">
        <v>0.7389</v>
      </c>
      <c r="X85">
        <v>2.0555000000000003</v>
      </c>
    </row>
    <row r="86" spans="16:24" x14ac:dyDescent="0.2">
      <c r="P86">
        <v>24</v>
      </c>
      <c r="Q86">
        <v>1.04</v>
      </c>
      <c r="T86">
        <v>3.7480000000000002</v>
      </c>
      <c r="V86">
        <v>0.72420000000000007</v>
      </c>
      <c r="X86">
        <v>2.0140000000000002</v>
      </c>
    </row>
    <row r="87" spans="16:24" x14ac:dyDescent="0.2">
      <c r="P87">
        <v>25</v>
      </c>
      <c r="Q87">
        <v>1.0395000000000001</v>
      </c>
      <c r="T87">
        <v>3.75</v>
      </c>
      <c r="V87">
        <v>0.70950000000000002</v>
      </c>
      <c r="X87">
        <v>1.9725000000000001</v>
      </c>
    </row>
    <row r="88" spans="16:24" x14ac:dyDescent="0.2">
      <c r="P88">
        <v>26</v>
      </c>
      <c r="Q88">
        <v>1.0390000000000001</v>
      </c>
      <c r="T88">
        <v>3.7520000000000002</v>
      </c>
      <c r="V88">
        <v>0.69480000000000008</v>
      </c>
      <c r="X88">
        <v>1.931</v>
      </c>
    </row>
    <row r="89" spans="16:24" x14ac:dyDescent="0.2">
      <c r="P89">
        <v>27</v>
      </c>
      <c r="Q89">
        <v>1.0385</v>
      </c>
      <c r="T89">
        <v>3.754</v>
      </c>
      <c r="V89">
        <v>0.68010000000000004</v>
      </c>
      <c r="X89">
        <v>1.8895000000000002</v>
      </c>
    </row>
    <row r="90" spans="16:24" x14ac:dyDescent="0.2">
      <c r="P90">
        <v>28</v>
      </c>
      <c r="Q90">
        <v>1.038</v>
      </c>
      <c r="T90">
        <v>3.7560000000000002</v>
      </c>
      <c r="V90">
        <v>0.66539999999999999</v>
      </c>
      <c r="X90">
        <v>1.8480000000000001</v>
      </c>
    </row>
    <row r="91" spans="16:24" x14ac:dyDescent="0.2">
      <c r="P91">
        <v>29</v>
      </c>
      <c r="Q91">
        <v>1.0375000000000001</v>
      </c>
      <c r="T91">
        <v>3.758</v>
      </c>
      <c r="V91">
        <v>0.65070000000000006</v>
      </c>
      <c r="X91">
        <v>1.8065000000000002</v>
      </c>
    </row>
    <row r="92" spans="16:24" x14ac:dyDescent="0.2">
      <c r="P92">
        <v>30</v>
      </c>
      <c r="Q92">
        <v>1.0369999999999999</v>
      </c>
      <c r="T92">
        <v>3.76</v>
      </c>
      <c r="V92">
        <v>0.63600000000000001</v>
      </c>
      <c r="X92">
        <v>1.7650000000000001</v>
      </c>
    </row>
    <row r="93" spans="16:24" x14ac:dyDescent="0.2">
      <c r="P93">
        <v>31</v>
      </c>
      <c r="Q93">
        <v>1.0365</v>
      </c>
      <c r="T93">
        <v>3.762</v>
      </c>
      <c r="V93">
        <v>0.62129999999999996</v>
      </c>
      <c r="X93">
        <v>1.7235</v>
      </c>
    </row>
    <row r="94" spans="16:24" x14ac:dyDescent="0.2">
      <c r="P94">
        <v>32</v>
      </c>
      <c r="Q94">
        <v>1.036</v>
      </c>
      <c r="T94">
        <v>3.7639999999999998</v>
      </c>
      <c r="V94">
        <v>0.60660000000000003</v>
      </c>
      <c r="X94">
        <v>1.6820000000000002</v>
      </c>
    </row>
    <row r="95" spans="16:24" x14ac:dyDescent="0.2">
      <c r="P95">
        <v>33</v>
      </c>
      <c r="Q95">
        <v>1.0355000000000001</v>
      </c>
      <c r="T95">
        <v>3.766</v>
      </c>
      <c r="V95">
        <v>0.59189999999999998</v>
      </c>
      <c r="X95">
        <v>1.6405000000000003</v>
      </c>
    </row>
    <row r="96" spans="16:24" x14ac:dyDescent="0.2">
      <c r="P96">
        <v>34</v>
      </c>
      <c r="Q96">
        <v>1.0350000000000001</v>
      </c>
      <c r="T96">
        <v>3.7679999999999998</v>
      </c>
      <c r="V96">
        <v>0.57720000000000005</v>
      </c>
      <c r="X96">
        <v>1.5990000000000002</v>
      </c>
    </row>
    <row r="97" spans="16:24" x14ac:dyDescent="0.2">
      <c r="P97">
        <v>35</v>
      </c>
      <c r="Q97">
        <v>1.0345</v>
      </c>
      <c r="T97">
        <v>3.77</v>
      </c>
      <c r="V97">
        <v>0.5625</v>
      </c>
      <c r="X97">
        <v>1.5575000000000001</v>
      </c>
    </row>
    <row r="98" spans="16:24" x14ac:dyDescent="0.2">
      <c r="P98">
        <v>36</v>
      </c>
      <c r="Q98">
        <v>1.034</v>
      </c>
      <c r="T98">
        <v>3.7719999999999998</v>
      </c>
      <c r="V98">
        <v>0.54780000000000006</v>
      </c>
      <c r="X98">
        <v>1.516</v>
      </c>
    </row>
    <row r="99" spans="16:24" x14ac:dyDescent="0.2">
      <c r="P99">
        <v>37</v>
      </c>
      <c r="Q99">
        <v>1.0335000000000001</v>
      </c>
      <c r="T99">
        <v>3.774</v>
      </c>
      <c r="V99">
        <v>0.53310000000000002</v>
      </c>
      <c r="X99">
        <v>1.4745000000000001</v>
      </c>
    </row>
    <row r="100" spans="16:24" x14ac:dyDescent="0.2">
      <c r="P100">
        <v>38</v>
      </c>
      <c r="Q100">
        <v>1.0329999999999999</v>
      </c>
      <c r="T100">
        <v>3.7759999999999998</v>
      </c>
      <c r="V100">
        <v>0.51839999999999997</v>
      </c>
      <c r="X100">
        <v>1.4330000000000003</v>
      </c>
    </row>
    <row r="101" spans="16:24" x14ac:dyDescent="0.2">
      <c r="P101">
        <v>39</v>
      </c>
      <c r="Q101">
        <v>1.0325</v>
      </c>
      <c r="T101">
        <v>3.778</v>
      </c>
      <c r="V101">
        <v>0.50370000000000004</v>
      </c>
      <c r="X101">
        <v>1.3915000000000002</v>
      </c>
    </row>
    <row r="102" spans="16:24" x14ac:dyDescent="0.2">
      <c r="P102">
        <v>40</v>
      </c>
      <c r="Q102">
        <v>1.032</v>
      </c>
      <c r="T102">
        <v>3.78</v>
      </c>
      <c r="V102">
        <v>0.48899999999999999</v>
      </c>
      <c r="X102">
        <v>1.35</v>
      </c>
    </row>
    <row r="103" spans="16:24" x14ac:dyDescent="0.2">
      <c r="P103">
        <v>41</v>
      </c>
      <c r="Q103">
        <v>1.0315000000000001</v>
      </c>
      <c r="T103">
        <v>3.7819999999999996</v>
      </c>
      <c r="V103">
        <v>0.4743</v>
      </c>
      <c r="X103">
        <v>1.3085</v>
      </c>
    </row>
    <row r="104" spans="16:24" x14ac:dyDescent="0.2">
      <c r="P104">
        <v>42</v>
      </c>
      <c r="Q104">
        <v>1.0310000000000001</v>
      </c>
      <c r="T104">
        <v>3.7839999999999998</v>
      </c>
      <c r="V104">
        <v>0.45960000000000001</v>
      </c>
      <c r="X104">
        <v>1.2670000000000001</v>
      </c>
    </row>
    <row r="105" spans="16:24" x14ac:dyDescent="0.2">
      <c r="P105">
        <v>43</v>
      </c>
      <c r="Q105">
        <v>1.0305</v>
      </c>
      <c r="T105">
        <v>3.7859999999999996</v>
      </c>
      <c r="V105">
        <v>0.44490000000000002</v>
      </c>
      <c r="X105">
        <v>1.2255000000000003</v>
      </c>
    </row>
    <row r="106" spans="16:24" x14ac:dyDescent="0.2">
      <c r="P106">
        <v>44</v>
      </c>
      <c r="Q106">
        <v>1.03</v>
      </c>
      <c r="T106">
        <v>3.7879999999999998</v>
      </c>
      <c r="V106">
        <v>0.43020000000000003</v>
      </c>
      <c r="X106">
        <v>1.1840000000000002</v>
      </c>
    </row>
    <row r="107" spans="16:24" x14ac:dyDescent="0.2">
      <c r="P107">
        <v>45</v>
      </c>
      <c r="Q107">
        <v>1.0295000000000001</v>
      </c>
      <c r="T107">
        <v>3.7899999999999996</v>
      </c>
      <c r="V107">
        <v>0.41549999999999998</v>
      </c>
      <c r="X107">
        <v>1.1425000000000001</v>
      </c>
    </row>
    <row r="108" spans="16:24" x14ac:dyDescent="0.2">
      <c r="P108">
        <v>46</v>
      </c>
      <c r="Q108">
        <v>1.0289999999999999</v>
      </c>
      <c r="T108">
        <v>3.7919999999999998</v>
      </c>
      <c r="V108">
        <v>0.40079999999999999</v>
      </c>
      <c r="X108">
        <v>1.1010000000000002</v>
      </c>
    </row>
    <row r="109" spans="16:24" x14ac:dyDescent="0.2">
      <c r="P109">
        <v>47</v>
      </c>
      <c r="Q109">
        <v>1.0285</v>
      </c>
      <c r="T109">
        <v>3.7939999999999996</v>
      </c>
      <c r="V109">
        <v>0.3861</v>
      </c>
      <c r="X109">
        <v>1.0595000000000001</v>
      </c>
    </row>
    <row r="110" spans="16:24" x14ac:dyDescent="0.2">
      <c r="P110">
        <v>48</v>
      </c>
      <c r="Q110">
        <v>1.028</v>
      </c>
      <c r="T110">
        <v>3.7959999999999998</v>
      </c>
      <c r="V110">
        <v>0.37140000000000001</v>
      </c>
      <c r="X110">
        <v>1.018</v>
      </c>
    </row>
    <row r="111" spans="16:24" x14ac:dyDescent="0.2">
      <c r="P111">
        <v>49</v>
      </c>
      <c r="Q111">
        <v>1.0275000000000001</v>
      </c>
      <c r="T111">
        <v>3.7979999999999996</v>
      </c>
      <c r="V111">
        <v>0.35670000000000002</v>
      </c>
      <c r="X111">
        <v>0.97650000000000015</v>
      </c>
    </row>
    <row r="112" spans="16:24" x14ac:dyDescent="0.2">
      <c r="P112">
        <v>50</v>
      </c>
      <c r="Q112">
        <v>1.0270000000000001</v>
      </c>
      <c r="T112">
        <v>3.8</v>
      </c>
      <c r="V112">
        <v>0.34199999999999997</v>
      </c>
      <c r="X112">
        <v>0.93500000000000005</v>
      </c>
    </row>
  </sheetData>
  <sheetProtection algorithmName="SHA-512" hashValue="sPLk57d1W6dpw7ebtdFHMVOGOfZE5wMME/PUX7H0ubxwgTPEwMWsiM9F4BSzY26o5aFlH9QCAtilKg66KOowzQ==" saltValue="P07vlbxJtjPmHYUUV/zhxQ==" spinCount="100000" sheet="1" objects="1" scenarios="1"/>
  <mergeCells count="2">
    <mergeCell ref="A1:F1"/>
    <mergeCell ref="G1:L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79998168889431442"/>
  </sheetPr>
  <dimension ref="A1:AMJ49"/>
  <sheetViews>
    <sheetView workbookViewId="0">
      <selection activeCell="Q67" sqref="Q67"/>
    </sheetView>
  </sheetViews>
  <sheetFormatPr baseColWidth="10" defaultColWidth="11.5703125" defaultRowHeight="12.75" x14ac:dyDescent="0.2"/>
  <cols>
    <col min="1" max="1" width="14.5703125" style="38" customWidth="1"/>
    <col min="2" max="10" width="11.85546875" style="38" customWidth="1"/>
    <col min="11" max="11" width="13" style="38" customWidth="1"/>
    <col min="12" max="1024" width="11.85546875" style="38" customWidth="1"/>
  </cols>
  <sheetData>
    <row r="1" spans="1:17" ht="15" x14ac:dyDescent="0.2">
      <c r="A1" s="40" t="s">
        <v>72</v>
      </c>
      <c r="B1" s="41" t="e">
        <f>IF(Eingabe!H4=Punkteberechnung!$B$33,#REF!,#REF!)</f>
        <v>#REF!</v>
      </c>
      <c r="C1" s="37"/>
      <c r="D1" s="37"/>
    </row>
    <row r="2" spans="1:17" ht="15" x14ac:dyDescent="0.2">
      <c r="A2" s="40" t="s">
        <v>73</v>
      </c>
      <c r="B2" s="42" t="e">
        <f>IF(Eingabe!H4=Punkteberechnung!$B$33,#REF!,#REF!)</f>
        <v>#REF!</v>
      </c>
      <c r="C2" s="37"/>
      <c r="D2" s="37"/>
    </row>
    <row r="4" spans="1:17" ht="15" x14ac:dyDescent="0.2">
      <c r="A4" s="38" t="s">
        <v>74</v>
      </c>
      <c r="B4" s="41" t="e">
        <f>B1</f>
        <v>#REF!</v>
      </c>
      <c r="J4" s="38" t="s">
        <v>74</v>
      </c>
      <c r="K4" s="37"/>
    </row>
    <row r="5" spans="1:17" x14ac:dyDescent="0.2">
      <c r="A5" s="38" t="s">
        <v>75</v>
      </c>
      <c r="B5" s="38" t="s">
        <v>76</v>
      </c>
      <c r="C5" s="38" t="s">
        <v>77</v>
      </c>
      <c r="D5" s="38" t="s">
        <v>78</v>
      </c>
      <c r="E5" s="38" t="s">
        <v>79</v>
      </c>
      <c r="F5" s="38" t="s">
        <v>80</v>
      </c>
      <c r="G5" s="38" t="s">
        <v>81</v>
      </c>
      <c r="I5" s="21" t="s">
        <v>81</v>
      </c>
      <c r="J5" s="21" t="s">
        <v>75</v>
      </c>
      <c r="K5" s="21" t="s">
        <v>76</v>
      </c>
      <c r="L5" s="21" t="s">
        <v>77</v>
      </c>
      <c r="M5" s="21" t="s">
        <v>78</v>
      </c>
      <c r="N5" s="21" t="s">
        <v>79</v>
      </c>
      <c r="O5" s="21" t="s">
        <v>79</v>
      </c>
      <c r="P5" s="21" t="s">
        <v>80</v>
      </c>
      <c r="Q5" s="21" t="s">
        <v>81</v>
      </c>
    </row>
    <row r="6" spans="1:17" x14ac:dyDescent="0.2">
      <c r="A6" s="38" t="e">
        <f>VLOOKUP($B$4,$J$7:$Q$39,1)</f>
        <v>#REF!</v>
      </c>
      <c r="B6" s="38" t="e">
        <f>VLOOKUP($B$4,$J$7:$Q$39,2)</f>
        <v>#REF!</v>
      </c>
      <c r="C6" s="38" t="e">
        <f>VLOOKUP($B$4,$J$7:$Q$39,3)</f>
        <v>#REF!</v>
      </c>
      <c r="D6" s="38" t="e">
        <f>VLOOKUP($B$4,$J$7:$Q$39,4)</f>
        <v>#REF!</v>
      </c>
      <c r="E6" s="38" t="e">
        <f>VLOOKUP($B$4,$J$7:$Q$39,6)</f>
        <v>#REF!</v>
      </c>
      <c r="F6" s="38" t="e">
        <f>VLOOKUP($B$4,$J$7:$Q$39,7)</f>
        <v>#REF!</v>
      </c>
      <c r="G6" s="38" t="e">
        <f>VLOOKUP($B$4,$J$7:$Q$39,8)</f>
        <v>#REF!</v>
      </c>
      <c r="I6" s="21" t="s">
        <v>82</v>
      </c>
      <c r="J6" s="21" t="s">
        <v>83</v>
      </c>
      <c r="K6" s="21" t="s">
        <v>84</v>
      </c>
      <c r="L6" s="21" t="s">
        <v>85</v>
      </c>
      <c r="M6" s="21" t="s">
        <v>86</v>
      </c>
      <c r="N6" s="21" t="s">
        <v>87</v>
      </c>
      <c r="O6" s="21" t="s">
        <v>88</v>
      </c>
      <c r="P6" s="21" t="s">
        <v>82</v>
      </c>
      <c r="Q6" s="21" t="s">
        <v>82</v>
      </c>
    </row>
    <row r="7" spans="1:17" x14ac:dyDescent="0.2">
      <c r="A7" s="38" t="e">
        <f>VLOOKUP($G$6+1,$I$7:$Q$39,2)</f>
        <v>#REF!</v>
      </c>
      <c r="B7" s="38" t="e">
        <f>VLOOKUP($G$6+1,$I$7:$Q$39,3)</f>
        <v>#REF!</v>
      </c>
      <c r="C7" s="38" t="e">
        <f>VLOOKUP($G$6+1,$I$7:$Q$39,4)</f>
        <v>#REF!</v>
      </c>
      <c r="D7" s="38" t="e">
        <f>VLOOKUP($G$6+1,$I$7:$Q$39,5)</f>
        <v>#REF!</v>
      </c>
      <c r="E7" s="38" t="e">
        <f>VLOOKUP($G$6+1,$I$7:$Q$39,7)</f>
        <v>#REF!</v>
      </c>
      <c r="F7" s="38" t="e">
        <f>VLOOKUP($G$6+1,$I$7:$Q$39,8)</f>
        <v>#REF!</v>
      </c>
      <c r="G7" s="38" t="e">
        <f>VLOOKUP($G$6+1,$I$7:$Q$39,9)</f>
        <v>#REF!</v>
      </c>
      <c r="I7" s="43">
        <v>7</v>
      </c>
      <c r="J7" s="43">
        <v>0</v>
      </c>
      <c r="K7" s="44">
        <v>999.84</v>
      </c>
      <c r="L7" s="43">
        <v>4219</v>
      </c>
      <c r="M7" s="45">
        <v>0.56200000000000006</v>
      </c>
      <c r="N7" s="46">
        <v>1.792</v>
      </c>
      <c r="O7" s="47">
        <f t="shared" ref="O7:O39" si="0">N7*10^-6</f>
        <v>1.792E-6</v>
      </c>
      <c r="P7" s="46">
        <v>13.45</v>
      </c>
      <c r="Q7" s="43">
        <v>7</v>
      </c>
    </row>
    <row r="8" spans="1:17" x14ac:dyDescent="0.2">
      <c r="A8" s="48" t="s">
        <v>89</v>
      </c>
      <c r="B8" s="48" t="e">
        <f>B6+(B7-B6)/($A7-$A6)*($B4-$A6)</f>
        <v>#REF!</v>
      </c>
      <c r="C8" s="48" t="e">
        <f>C6+(C7-C6)/($A7-$A6)*($B4-$A6)</f>
        <v>#REF!</v>
      </c>
      <c r="D8" s="48" t="e">
        <f>D6+(D7-D6)/($A7-$A6)*($B4-$A6)</f>
        <v>#REF!</v>
      </c>
      <c r="E8" s="48" t="e">
        <f>E6+(E7-E6)/($A7-$A6)*($B4-$A6)</f>
        <v>#REF!</v>
      </c>
      <c r="F8" s="48" t="e">
        <f>F6+(F7-F6)/($A7-$A6)*($B4-$A6)</f>
        <v>#REF!</v>
      </c>
      <c r="I8" s="49">
        <v>8</v>
      </c>
      <c r="J8" s="49">
        <v>1</v>
      </c>
      <c r="K8" s="50">
        <v>999.9</v>
      </c>
      <c r="L8" s="49">
        <v>4216</v>
      </c>
      <c r="M8" s="51">
        <v>0.56410000000000005</v>
      </c>
      <c r="N8" s="52">
        <v>1.7310000000000001</v>
      </c>
      <c r="O8" s="53">
        <f t="shared" si="0"/>
        <v>1.731E-6</v>
      </c>
      <c r="P8" s="52">
        <v>12.94</v>
      </c>
      <c r="Q8" s="49">
        <v>8</v>
      </c>
    </row>
    <row r="9" spans="1:17" x14ac:dyDescent="0.2">
      <c r="I9" s="49">
        <v>9</v>
      </c>
      <c r="J9" s="49">
        <v>2</v>
      </c>
      <c r="K9" s="50">
        <v>999.94</v>
      </c>
      <c r="L9" s="49">
        <v>4213</v>
      </c>
      <c r="M9" s="51">
        <v>0.56620000000000004</v>
      </c>
      <c r="N9" s="52">
        <v>1.673</v>
      </c>
      <c r="O9" s="53">
        <f t="shared" si="0"/>
        <v>1.6729999999999999E-6</v>
      </c>
      <c r="P9" s="52">
        <v>12.45</v>
      </c>
      <c r="Q9" s="49">
        <v>9</v>
      </c>
    </row>
    <row r="10" spans="1:17" ht="15" x14ac:dyDescent="0.2">
      <c r="A10" s="38" t="s">
        <v>90</v>
      </c>
      <c r="B10" s="42" t="e">
        <f>B2</f>
        <v>#REF!</v>
      </c>
      <c r="I10" s="49">
        <v>10</v>
      </c>
      <c r="J10" s="49">
        <v>3</v>
      </c>
      <c r="K10" s="50">
        <v>999.97</v>
      </c>
      <c r="L10" s="49">
        <v>4210</v>
      </c>
      <c r="M10" s="51">
        <v>0.56830000000000003</v>
      </c>
      <c r="N10" s="52">
        <v>1.619</v>
      </c>
      <c r="O10" s="53">
        <f t="shared" si="0"/>
        <v>1.6189999999999999E-6</v>
      </c>
      <c r="P10" s="52">
        <v>11.99</v>
      </c>
      <c r="Q10" s="49">
        <v>10</v>
      </c>
    </row>
    <row r="11" spans="1:17" x14ac:dyDescent="0.2">
      <c r="A11" s="38" t="s">
        <v>75</v>
      </c>
      <c r="B11" s="38" t="s">
        <v>76</v>
      </c>
      <c r="C11" s="38" t="s">
        <v>77</v>
      </c>
      <c r="D11" s="38" t="s">
        <v>78</v>
      </c>
      <c r="E11" s="38" t="s">
        <v>79</v>
      </c>
      <c r="F11" s="38" t="s">
        <v>80</v>
      </c>
      <c r="G11" s="38" t="s">
        <v>81</v>
      </c>
      <c r="I11" s="49">
        <v>11</v>
      </c>
      <c r="J11" s="49">
        <v>4</v>
      </c>
      <c r="K11" s="50">
        <v>999.97</v>
      </c>
      <c r="L11" s="49">
        <v>4207</v>
      </c>
      <c r="M11" s="51">
        <v>0.57030000000000003</v>
      </c>
      <c r="N11" s="52">
        <v>1.5669999999999999</v>
      </c>
      <c r="O11" s="53">
        <f t="shared" si="0"/>
        <v>1.5669999999999998E-6</v>
      </c>
      <c r="P11" s="52">
        <v>11.65</v>
      </c>
      <c r="Q11" s="49">
        <v>11</v>
      </c>
    </row>
    <row r="12" spans="1:17" x14ac:dyDescent="0.2">
      <c r="A12" s="38" t="e">
        <f>VLOOKUP($B$10,$J$44:$Q$49,1)</f>
        <v>#REF!</v>
      </c>
      <c r="B12" s="38" t="e">
        <f>VLOOKUP($B$10,$J$44:$Q$49,2)</f>
        <v>#REF!</v>
      </c>
      <c r="C12" s="38" t="e">
        <f>VLOOKUP($B$10,$J$44:$Q$49,3)</f>
        <v>#REF!</v>
      </c>
      <c r="D12" s="38" t="e">
        <f>VLOOKUP($B$10,$J$44:$Q$49,4)</f>
        <v>#REF!</v>
      </c>
      <c r="E12" s="38" t="e">
        <f>VLOOKUP($B$10,$J$44:$Q$49,6)</f>
        <v>#REF!</v>
      </c>
      <c r="F12" s="38" t="e">
        <f>VLOOKUP($B$10,$J$44:$Q$49,7)</f>
        <v>#REF!</v>
      </c>
      <c r="G12" s="38" t="e">
        <f>VLOOKUP($B$10,$J$44:$Q$48,8)</f>
        <v>#REF!</v>
      </c>
      <c r="I12" s="54">
        <v>12</v>
      </c>
      <c r="J12" s="49">
        <v>5</v>
      </c>
      <c r="K12" s="50">
        <v>999.97</v>
      </c>
      <c r="L12" s="49">
        <v>4205</v>
      </c>
      <c r="M12" s="51">
        <v>0.57230000000000003</v>
      </c>
      <c r="N12" s="52">
        <v>1.518</v>
      </c>
      <c r="O12" s="53">
        <f t="shared" si="0"/>
        <v>1.5179999999999999E-6</v>
      </c>
      <c r="P12" s="52">
        <v>11.15</v>
      </c>
      <c r="Q12" s="54">
        <v>12</v>
      </c>
    </row>
    <row r="13" spans="1:17" x14ac:dyDescent="0.2">
      <c r="A13" s="38" t="e">
        <f>VLOOKUP($G$12+1,$I$44:$Q$49,2)</f>
        <v>#REF!</v>
      </c>
      <c r="B13" s="38" t="e">
        <f>VLOOKUP($G$12+1,$I$44:$Q$49,3)</f>
        <v>#REF!</v>
      </c>
      <c r="C13" s="38" t="e">
        <f>VLOOKUP($G$12+1,$I$44:$Q$49,4)</f>
        <v>#REF!</v>
      </c>
      <c r="D13" s="38" t="e">
        <f>VLOOKUP($G$12+1,$I$44:$Q$49,5)</f>
        <v>#REF!</v>
      </c>
      <c r="E13" s="38" t="e">
        <f>VLOOKUP($G$12+1,$I$44:$Q$49,7)</f>
        <v>#REF!</v>
      </c>
      <c r="F13" s="38" t="e">
        <f>VLOOKUP($G$12+1,$I$44:$Q$49,8)</f>
        <v>#REF!</v>
      </c>
      <c r="G13" s="38" t="e">
        <f>VLOOKUP($G$12+1,$I$44:$Q$48,9)</f>
        <v>#REF!</v>
      </c>
      <c r="I13" s="43">
        <v>13</v>
      </c>
      <c r="J13" s="43">
        <v>6</v>
      </c>
      <c r="K13" s="44">
        <v>999.94</v>
      </c>
      <c r="L13" s="43">
        <v>4203</v>
      </c>
      <c r="M13" s="45">
        <v>0.57430000000000003</v>
      </c>
      <c r="N13" s="46">
        <v>1.472</v>
      </c>
      <c r="O13" s="47">
        <f t="shared" si="0"/>
        <v>1.4719999999999998E-6</v>
      </c>
      <c r="P13" s="46">
        <v>10.77</v>
      </c>
      <c r="Q13" s="43">
        <v>13</v>
      </c>
    </row>
    <row r="14" spans="1:17" x14ac:dyDescent="0.2">
      <c r="A14" s="48" t="s">
        <v>89</v>
      </c>
      <c r="B14" s="48" t="e">
        <f>B12+(B13-B12)/($A13-$A12)*($B10-$A12)</f>
        <v>#REF!</v>
      </c>
      <c r="C14" s="48" t="e">
        <f>C12+(C13-C12)/($A13-$A12)*($B10-$A12)</f>
        <v>#REF!</v>
      </c>
      <c r="D14" s="48" t="e">
        <f>D12+(D13-D12)/($A13-$A12)*($B10-$A12)</f>
        <v>#REF!</v>
      </c>
      <c r="E14" s="48" t="e">
        <f>E12+(E13-E12)/($A13-$A12)*($B10-$A12)</f>
        <v>#REF!</v>
      </c>
      <c r="F14" s="48" t="e">
        <f>F12+(F13-F12)/($A13-$A12)*($B10-$A12)</f>
        <v>#REF!</v>
      </c>
      <c r="I14" s="49">
        <v>14</v>
      </c>
      <c r="J14" s="49">
        <v>7</v>
      </c>
      <c r="K14" s="50">
        <v>999.9</v>
      </c>
      <c r="L14" s="49">
        <v>4201</v>
      </c>
      <c r="M14" s="51">
        <v>0.57630000000000003</v>
      </c>
      <c r="N14" s="52">
        <v>1.427</v>
      </c>
      <c r="O14" s="53">
        <f t="shared" si="0"/>
        <v>1.4270000000000001E-6</v>
      </c>
      <c r="P14" s="52">
        <v>10.4</v>
      </c>
      <c r="Q14" s="49">
        <v>14</v>
      </c>
    </row>
    <row r="15" spans="1:17" x14ac:dyDescent="0.2">
      <c r="I15" s="49">
        <v>15</v>
      </c>
      <c r="J15" s="49">
        <v>8</v>
      </c>
      <c r="K15" s="50">
        <v>999.85</v>
      </c>
      <c r="L15" s="49">
        <v>4199</v>
      </c>
      <c r="M15" s="51">
        <v>0.57820000000000005</v>
      </c>
      <c r="N15" s="52">
        <v>1.385</v>
      </c>
      <c r="O15" s="53">
        <f t="shared" si="0"/>
        <v>1.3849999999999999E-6</v>
      </c>
      <c r="P15" s="52">
        <v>10.06</v>
      </c>
      <c r="Q15" s="49">
        <v>15</v>
      </c>
    </row>
    <row r="16" spans="1:17" x14ac:dyDescent="0.2">
      <c r="I16" s="49">
        <v>16</v>
      </c>
      <c r="J16" s="49">
        <v>9</v>
      </c>
      <c r="K16" s="50">
        <v>999.78</v>
      </c>
      <c r="L16" s="49">
        <v>4197</v>
      </c>
      <c r="M16" s="51">
        <v>0.58009999999999995</v>
      </c>
      <c r="N16" s="52">
        <v>1.345</v>
      </c>
      <c r="O16" s="53">
        <f t="shared" si="0"/>
        <v>1.3449999999999998E-6</v>
      </c>
      <c r="P16" s="52">
        <v>9.7270000000000003</v>
      </c>
      <c r="Q16" s="49">
        <v>16</v>
      </c>
    </row>
    <row r="17" spans="9:17" x14ac:dyDescent="0.2">
      <c r="I17" s="54">
        <v>17</v>
      </c>
      <c r="J17" s="54">
        <v>10</v>
      </c>
      <c r="K17" s="55">
        <v>999.7</v>
      </c>
      <c r="L17" s="54">
        <v>4195</v>
      </c>
      <c r="M17" s="56">
        <v>0.58199999999999996</v>
      </c>
      <c r="N17" s="57">
        <v>1.306</v>
      </c>
      <c r="O17" s="53">
        <f t="shared" si="0"/>
        <v>1.3060000000000001E-6</v>
      </c>
      <c r="P17" s="57">
        <v>9.4139999999999997</v>
      </c>
      <c r="Q17" s="54">
        <v>17</v>
      </c>
    </row>
    <row r="18" spans="9:17" x14ac:dyDescent="0.2">
      <c r="I18" s="49">
        <v>18</v>
      </c>
      <c r="J18" s="43">
        <v>11</v>
      </c>
      <c r="K18" s="44">
        <v>999.61</v>
      </c>
      <c r="L18" s="43">
        <v>4194</v>
      </c>
      <c r="M18" s="45">
        <v>0.58379999999999999</v>
      </c>
      <c r="N18" s="46">
        <v>1.27</v>
      </c>
      <c r="O18" s="47">
        <f t="shared" si="0"/>
        <v>1.2699999999999999E-6</v>
      </c>
      <c r="P18" s="46">
        <v>9.1170000000000009</v>
      </c>
      <c r="Q18" s="49">
        <v>18</v>
      </c>
    </row>
    <row r="19" spans="9:17" x14ac:dyDescent="0.2">
      <c r="I19" s="49">
        <v>19</v>
      </c>
      <c r="J19" s="49">
        <v>12</v>
      </c>
      <c r="K19" s="50">
        <v>999.5</v>
      </c>
      <c r="L19" s="49">
        <v>4193</v>
      </c>
      <c r="M19" s="51">
        <v>0.5857</v>
      </c>
      <c r="N19" s="52">
        <v>1.2350000000000001</v>
      </c>
      <c r="O19" s="53">
        <f t="shared" si="0"/>
        <v>1.235E-6</v>
      </c>
      <c r="P19" s="52">
        <v>8.8339999999999996</v>
      </c>
      <c r="Q19" s="49">
        <v>19</v>
      </c>
    </row>
    <row r="20" spans="9:17" x14ac:dyDescent="0.2">
      <c r="I20" s="49">
        <v>20</v>
      </c>
      <c r="J20" s="49">
        <v>13</v>
      </c>
      <c r="K20" s="50">
        <v>999.38</v>
      </c>
      <c r="L20" s="49">
        <v>4191</v>
      </c>
      <c r="M20" s="51">
        <v>0.58750000000000002</v>
      </c>
      <c r="N20" s="52">
        <v>1.2010000000000001</v>
      </c>
      <c r="O20" s="53">
        <f t="shared" si="0"/>
        <v>1.201E-6</v>
      </c>
      <c r="P20" s="52">
        <v>8.5649999999999995</v>
      </c>
      <c r="Q20" s="49">
        <v>20</v>
      </c>
    </row>
    <row r="21" spans="9:17" x14ac:dyDescent="0.2">
      <c r="I21" s="49">
        <v>21</v>
      </c>
      <c r="J21" s="49">
        <v>14</v>
      </c>
      <c r="K21" s="50">
        <v>999.25</v>
      </c>
      <c r="L21" s="49">
        <v>4190</v>
      </c>
      <c r="M21" s="51">
        <v>0.58930000000000005</v>
      </c>
      <c r="N21" s="52">
        <v>1.169</v>
      </c>
      <c r="O21" s="53">
        <f t="shared" si="0"/>
        <v>1.1689999999999999E-6</v>
      </c>
      <c r="P21" s="52">
        <v>8.3079999999999998</v>
      </c>
      <c r="Q21" s="49">
        <v>21</v>
      </c>
    </row>
    <row r="22" spans="9:17" x14ac:dyDescent="0.2">
      <c r="I22" s="49">
        <v>22</v>
      </c>
      <c r="J22" s="54">
        <v>15</v>
      </c>
      <c r="K22" s="55">
        <v>999.1</v>
      </c>
      <c r="L22" s="54">
        <v>4189</v>
      </c>
      <c r="M22" s="56">
        <v>0.59099999999999997</v>
      </c>
      <c r="N22" s="57">
        <v>1.139</v>
      </c>
      <c r="O22" s="53">
        <f t="shared" si="0"/>
        <v>1.139E-6</v>
      </c>
      <c r="P22" s="57">
        <v>8.0630000000000006</v>
      </c>
      <c r="Q22" s="49">
        <v>22</v>
      </c>
    </row>
    <row r="23" spans="9:17" x14ac:dyDescent="0.2">
      <c r="I23" s="43">
        <v>23</v>
      </c>
      <c r="J23" s="43">
        <v>20</v>
      </c>
      <c r="K23" s="44">
        <v>998.21</v>
      </c>
      <c r="L23" s="43">
        <v>4185</v>
      </c>
      <c r="M23" s="45">
        <v>0.59950000000000003</v>
      </c>
      <c r="N23" s="46">
        <v>1.0029999999999999</v>
      </c>
      <c r="O23" s="47">
        <f t="shared" si="0"/>
        <v>1.0029999999999998E-6</v>
      </c>
      <c r="P23" s="46">
        <v>6.9909999999999997</v>
      </c>
      <c r="Q23" s="43">
        <v>23</v>
      </c>
    </row>
    <row r="24" spans="9:17" x14ac:dyDescent="0.2">
      <c r="I24" s="49">
        <v>24</v>
      </c>
      <c r="J24" s="49">
        <v>25</v>
      </c>
      <c r="K24" s="50">
        <v>997.05</v>
      </c>
      <c r="L24" s="49">
        <v>4182</v>
      </c>
      <c r="M24" s="51">
        <v>0.60750000000000004</v>
      </c>
      <c r="N24" s="52">
        <v>0.89300000000000002</v>
      </c>
      <c r="O24" s="53">
        <f t="shared" si="0"/>
        <v>8.9299999999999996E-7</v>
      </c>
      <c r="P24" s="52">
        <v>6.1269999999999998</v>
      </c>
      <c r="Q24" s="49">
        <v>24</v>
      </c>
    </row>
    <row r="25" spans="9:17" x14ac:dyDescent="0.2">
      <c r="I25" s="49">
        <v>25</v>
      </c>
      <c r="J25" s="49">
        <v>30</v>
      </c>
      <c r="K25" s="50">
        <v>995.65</v>
      </c>
      <c r="L25" s="49">
        <v>4180</v>
      </c>
      <c r="M25" s="51">
        <v>0.61499999999999999</v>
      </c>
      <c r="N25" s="52">
        <v>0.80100000000000005</v>
      </c>
      <c r="O25" s="53">
        <f t="shared" si="0"/>
        <v>8.0100000000000004E-7</v>
      </c>
      <c r="P25" s="52">
        <v>5.4189999999999996</v>
      </c>
      <c r="Q25" s="49">
        <v>25</v>
      </c>
    </row>
    <row r="26" spans="9:17" x14ac:dyDescent="0.2">
      <c r="I26" s="54">
        <v>26</v>
      </c>
      <c r="J26" s="54">
        <v>35</v>
      </c>
      <c r="K26" s="55">
        <v>994.04</v>
      </c>
      <c r="L26" s="54">
        <v>4179</v>
      </c>
      <c r="M26" s="56">
        <v>0.622</v>
      </c>
      <c r="N26" s="57">
        <v>0.72399999999999998</v>
      </c>
      <c r="O26" s="53">
        <f t="shared" si="0"/>
        <v>7.2399999999999997E-7</v>
      </c>
      <c r="P26" s="57">
        <v>4.8330000000000002</v>
      </c>
      <c r="Q26" s="54">
        <v>26</v>
      </c>
    </row>
    <row r="27" spans="9:17" x14ac:dyDescent="0.2">
      <c r="I27" s="49">
        <v>27</v>
      </c>
      <c r="J27" s="43">
        <v>40</v>
      </c>
      <c r="K27" s="44">
        <v>992.22</v>
      </c>
      <c r="L27" s="43">
        <v>4179</v>
      </c>
      <c r="M27" s="45">
        <v>0.62860000000000005</v>
      </c>
      <c r="N27" s="46">
        <v>0.65800000000000003</v>
      </c>
      <c r="O27" s="47">
        <f t="shared" si="0"/>
        <v>6.5799999999999999E-7</v>
      </c>
      <c r="P27" s="46">
        <v>4.3410000000000002</v>
      </c>
      <c r="Q27" s="49">
        <v>27</v>
      </c>
    </row>
    <row r="28" spans="9:17" x14ac:dyDescent="0.2">
      <c r="I28" s="49">
        <v>28</v>
      </c>
      <c r="J28" s="49">
        <v>45</v>
      </c>
      <c r="K28" s="50">
        <v>990.22</v>
      </c>
      <c r="L28" s="49">
        <v>4179</v>
      </c>
      <c r="M28" s="51">
        <v>0.63480000000000003</v>
      </c>
      <c r="N28" s="52">
        <v>0.60199999999999998</v>
      </c>
      <c r="O28" s="53">
        <f t="shared" si="0"/>
        <v>6.0199999999999991E-7</v>
      </c>
      <c r="P28" s="52">
        <v>3.9239999999999999</v>
      </c>
      <c r="Q28" s="49">
        <v>28</v>
      </c>
    </row>
    <row r="29" spans="9:17" x14ac:dyDescent="0.2">
      <c r="I29" s="49">
        <v>29</v>
      </c>
      <c r="J29" s="49">
        <v>50</v>
      </c>
      <c r="K29" s="50">
        <v>988.05</v>
      </c>
      <c r="L29" s="49">
        <v>4180</v>
      </c>
      <c r="M29" s="51">
        <v>0.64049999999999996</v>
      </c>
      <c r="N29" s="52">
        <v>0.55300000000000005</v>
      </c>
      <c r="O29" s="53">
        <f t="shared" si="0"/>
        <v>5.5300000000000004E-7</v>
      </c>
      <c r="P29" s="52">
        <v>3.5680000000000001</v>
      </c>
      <c r="Q29" s="49">
        <v>29</v>
      </c>
    </row>
    <row r="30" spans="9:17" x14ac:dyDescent="0.2">
      <c r="I30" s="49">
        <v>30</v>
      </c>
      <c r="J30" s="54">
        <v>55</v>
      </c>
      <c r="K30" s="55">
        <v>985.71</v>
      </c>
      <c r="L30" s="54">
        <v>4181</v>
      </c>
      <c r="M30" s="56">
        <v>0.64580000000000004</v>
      </c>
      <c r="N30" s="57">
        <v>0.51100000000000001</v>
      </c>
      <c r="O30" s="53">
        <f t="shared" si="0"/>
        <v>5.1099999999999996E-7</v>
      </c>
      <c r="P30" s="57">
        <v>3.2629999999999999</v>
      </c>
      <c r="Q30" s="49">
        <v>30</v>
      </c>
    </row>
    <row r="31" spans="9:17" x14ac:dyDescent="0.2">
      <c r="I31" s="43">
        <v>31</v>
      </c>
      <c r="J31" s="43">
        <v>60</v>
      </c>
      <c r="K31" s="44">
        <v>983.71</v>
      </c>
      <c r="L31" s="43">
        <v>4183</v>
      </c>
      <c r="M31" s="45">
        <v>0.65080000000000005</v>
      </c>
      <c r="N31" s="46">
        <v>0.47399999999999998</v>
      </c>
      <c r="O31" s="47">
        <f t="shared" si="0"/>
        <v>4.7399999999999993E-7</v>
      </c>
      <c r="P31" s="46">
        <v>2.9980000000000002</v>
      </c>
      <c r="Q31" s="43">
        <v>31</v>
      </c>
    </row>
    <row r="32" spans="9:17" x14ac:dyDescent="0.2">
      <c r="I32" s="49">
        <v>32</v>
      </c>
      <c r="J32" s="49">
        <v>65</v>
      </c>
      <c r="K32" s="50">
        <v>980.57</v>
      </c>
      <c r="L32" s="49">
        <v>4185</v>
      </c>
      <c r="M32" s="51">
        <v>0.65539999999999998</v>
      </c>
      <c r="N32" s="52">
        <v>0.442</v>
      </c>
      <c r="O32" s="53">
        <f t="shared" si="0"/>
        <v>4.4199999999999996E-7</v>
      </c>
      <c r="P32" s="52">
        <v>2.7669999999999999</v>
      </c>
      <c r="Q32" s="49">
        <v>32</v>
      </c>
    </row>
    <row r="33" spans="9:17" x14ac:dyDescent="0.2">
      <c r="I33" s="49">
        <v>33</v>
      </c>
      <c r="J33" s="49">
        <v>70</v>
      </c>
      <c r="K33" s="50">
        <v>977.78</v>
      </c>
      <c r="L33" s="49">
        <v>4188</v>
      </c>
      <c r="M33" s="51">
        <v>0.65959999999999996</v>
      </c>
      <c r="N33" s="52">
        <v>0.41299999999999998</v>
      </c>
      <c r="O33" s="53">
        <f t="shared" si="0"/>
        <v>4.1299999999999995E-7</v>
      </c>
      <c r="P33" s="52">
        <v>2.5649999999999999</v>
      </c>
      <c r="Q33" s="49">
        <v>33</v>
      </c>
    </row>
    <row r="34" spans="9:17" x14ac:dyDescent="0.2">
      <c r="I34" s="54">
        <v>34</v>
      </c>
      <c r="J34" s="54">
        <v>75</v>
      </c>
      <c r="K34" s="55">
        <v>974.86</v>
      </c>
      <c r="L34" s="54">
        <v>4192</v>
      </c>
      <c r="M34" s="56">
        <v>0.66349999999999998</v>
      </c>
      <c r="N34" s="57">
        <v>0.38700000000000001</v>
      </c>
      <c r="O34" s="53">
        <f t="shared" si="0"/>
        <v>3.8700000000000001E-7</v>
      </c>
      <c r="P34" s="57">
        <v>2.3860000000000001</v>
      </c>
      <c r="Q34" s="54">
        <v>34</v>
      </c>
    </row>
    <row r="35" spans="9:17" x14ac:dyDescent="0.2">
      <c r="I35" s="49">
        <v>35</v>
      </c>
      <c r="J35" s="43">
        <v>80</v>
      </c>
      <c r="K35" s="44">
        <v>971.8</v>
      </c>
      <c r="L35" s="43">
        <v>4196</v>
      </c>
      <c r="M35" s="45">
        <v>0.66700000000000004</v>
      </c>
      <c r="N35" s="46">
        <v>0.36499999999999999</v>
      </c>
      <c r="O35" s="47">
        <f t="shared" si="0"/>
        <v>3.65E-7</v>
      </c>
      <c r="P35" s="46">
        <v>2.2290000000000001</v>
      </c>
      <c r="Q35" s="49">
        <v>35</v>
      </c>
    </row>
    <row r="36" spans="9:17" x14ac:dyDescent="0.2">
      <c r="I36" s="49">
        <v>36</v>
      </c>
      <c r="J36" s="49">
        <v>85</v>
      </c>
      <c r="K36" s="50">
        <v>968.62</v>
      </c>
      <c r="L36" s="49">
        <v>4200</v>
      </c>
      <c r="M36" s="51">
        <v>0.67020000000000002</v>
      </c>
      <c r="N36" s="52">
        <v>0.34399999999999997</v>
      </c>
      <c r="O36" s="53">
        <f t="shared" si="0"/>
        <v>3.4399999999999996E-7</v>
      </c>
      <c r="P36" s="52">
        <v>2.089</v>
      </c>
      <c r="Q36" s="49">
        <v>36</v>
      </c>
    </row>
    <row r="37" spans="9:17" x14ac:dyDescent="0.2">
      <c r="I37" s="49">
        <v>37</v>
      </c>
      <c r="J37" s="49">
        <v>90</v>
      </c>
      <c r="K37" s="50">
        <v>965.32</v>
      </c>
      <c r="L37" s="49">
        <v>4205</v>
      </c>
      <c r="M37" s="51">
        <v>0.67300000000000004</v>
      </c>
      <c r="N37" s="52">
        <v>0.32600000000000001</v>
      </c>
      <c r="O37" s="53">
        <f t="shared" si="0"/>
        <v>3.2599999999999998E-7</v>
      </c>
      <c r="P37" s="52">
        <v>1.964</v>
      </c>
      <c r="Q37" s="49">
        <v>37</v>
      </c>
    </row>
    <row r="38" spans="9:17" x14ac:dyDescent="0.2">
      <c r="I38" s="49">
        <v>38</v>
      </c>
      <c r="J38" s="54">
        <v>95</v>
      </c>
      <c r="K38" s="55">
        <v>961.89</v>
      </c>
      <c r="L38" s="54">
        <v>4211</v>
      </c>
      <c r="M38" s="56">
        <v>0.67549999999999999</v>
      </c>
      <c r="N38" s="57">
        <v>0.309</v>
      </c>
      <c r="O38" s="53">
        <f t="shared" si="0"/>
        <v>3.0899999999999997E-7</v>
      </c>
      <c r="P38" s="57">
        <v>1.853</v>
      </c>
      <c r="Q38" s="49">
        <v>38</v>
      </c>
    </row>
    <row r="39" spans="9:17" x14ac:dyDescent="0.2">
      <c r="I39" s="21">
        <v>39</v>
      </c>
      <c r="J39" s="54">
        <v>99.61</v>
      </c>
      <c r="K39" s="55">
        <v>958.64</v>
      </c>
      <c r="L39" s="54">
        <v>4216</v>
      </c>
      <c r="M39" s="56">
        <v>0.67759999999999998</v>
      </c>
      <c r="N39" s="57">
        <v>0.29499999999999998</v>
      </c>
      <c r="O39" s="58">
        <f t="shared" si="0"/>
        <v>2.9499999999999998E-7</v>
      </c>
      <c r="P39" s="57">
        <v>1.76</v>
      </c>
      <c r="Q39" s="21">
        <v>39</v>
      </c>
    </row>
    <row r="41" spans="9:17" x14ac:dyDescent="0.2">
      <c r="J41" s="38" t="s">
        <v>91</v>
      </c>
      <c r="K41" s="59">
        <v>0.28999999999999998</v>
      </c>
    </row>
    <row r="42" spans="9:17" x14ac:dyDescent="0.2">
      <c r="I42" s="21" t="s">
        <v>81</v>
      </c>
      <c r="J42" s="21" t="s">
        <v>75</v>
      </c>
      <c r="K42" s="21" t="s">
        <v>76</v>
      </c>
      <c r="L42" s="21" t="s">
        <v>77</v>
      </c>
      <c r="M42" s="21" t="s">
        <v>78</v>
      </c>
      <c r="N42" s="21" t="s">
        <v>79</v>
      </c>
      <c r="O42" s="21" t="s">
        <v>79</v>
      </c>
      <c r="P42" s="21" t="s">
        <v>80</v>
      </c>
      <c r="Q42" s="21" t="s">
        <v>81</v>
      </c>
    </row>
    <row r="43" spans="9:17" x14ac:dyDescent="0.2">
      <c r="I43" s="21" t="s">
        <v>82</v>
      </c>
      <c r="J43" s="21" t="s">
        <v>83</v>
      </c>
      <c r="K43" s="21" t="s">
        <v>84</v>
      </c>
      <c r="L43" s="21" t="s">
        <v>85</v>
      </c>
      <c r="M43" s="21" t="s">
        <v>86</v>
      </c>
      <c r="N43" s="21" t="s">
        <v>87</v>
      </c>
      <c r="O43" s="21" t="s">
        <v>88</v>
      </c>
      <c r="P43" s="21" t="s">
        <v>82</v>
      </c>
      <c r="Q43" s="21" t="s">
        <v>82</v>
      </c>
    </row>
    <row r="44" spans="9:17" x14ac:dyDescent="0.2">
      <c r="I44" s="43">
        <v>7</v>
      </c>
      <c r="J44" s="43">
        <v>-15</v>
      </c>
      <c r="K44" s="43">
        <v>1058</v>
      </c>
      <c r="L44" s="43">
        <v>3680</v>
      </c>
      <c r="M44" s="43">
        <v>0.47499999999999998</v>
      </c>
      <c r="N44" s="43">
        <v>9.56</v>
      </c>
      <c r="O44" s="47">
        <f t="shared" ref="O44:O49" si="1">N44*10^-6</f>
        <v>9.5599999999999999E-6</v>
      </c>
      <c r="P44" s="43">
        <v>74</v>
      </c>
      <c r="Q44" s="43">
        <v>7</v>
      </c>
    </row>
    <row r="45" spans="9:17" x14ac:dyDescent="0.2">
      <c r="I45" s="49">
        <v>8</v>
      </c>
      <c r="J45" s="49">
        <v>10</v>
      </c>
      <c r="K45" s="49">
        <v>1056</v>
      </c>
      <c r="L45" s="49">
        <v>3680</v>
      </c>
      <c r="M45" s="49">
        <v>0.57599999999999996</v>
      </c>
      <c r="N45" s="49">
        <v>7.33</v>
      </c>
      <c r="O45" s="53">
        <f t="shared" si="1"/>
        <v>7.3300000000000001E-6</v>
      </c>
      <c r="P45" s="49">
        <v>57</v>
      </c>
      <c r="Q45" s="49">
        <v>8</v>
      </c>
    </row>
    <row r="46" spans="9:17" x14ac:dyDescent="0.2">
      <c r="I46" s="49">
        <v>9</v>
      </c>
      <c r="J46" s="49">
        <v>0</v>
      </c>
      <c r="K46" s="49">
        <v>1051</v>
      </c>
      <c r="L46" s="49">
        <v>3700</v>
      </c>
      <c r="M46" s="49">
        <v>0.57799999999999996</v>
      </c>
      <c r="N46" s="49">
        <v>4.6100000000000003</v>
      </c>
      <c r="O46" s="53">
        <f t="shared" si="1"/>
        <v>4.6099999999999999E-6</v>
      </c>
      <c r="P46" s="49">
        <v>36</v>
      </c>
      <c r="Q46" s="49">
        <v>9</v>
      </c>
    </row>
    <row r="47" spans="9:17" x14ac:dyDescent="0.2">
      <c r="I47" s="49">
        <v>10</v>
      </c>
      <c r="J47" s="49">
        <v>10</v>
      </c>
      <c r="K47" s="49">
        <v>1047</v>
      </c>
      <c r="L47" s="49">
        <v>3720</v>
      </c>
      <c r="M47" s="49">
        <v>0.48099999999999998</v>
      </c>
      <c r="N47" s="49">
        <v>3.13</v>
      </c>
      <c r="O47" s="53">
        <f t="shared" si="1"/>
        <v>3.1299999999999997E-6</v>
      </c>
      <c r="P47" s="49">
        <v>24</v>
      </c>
      <c r="Q47" s="49">
        <v>10</v>
      </c>
    </row>
    <row r="48" spans="9:17" x14ac:dyDescent="0.2">
      <c r="I48" s="49">
        <v>11</v>
      </c>
      <c r="J48" s="49">
        <v>20</v>
      </c>
      <c r="K48" s="49">
        <v>1042</v>
      </c>
      <c r="L48" s="49">
        <v>3740</v>
      </c>
      <c r="M48" s="49">
        <v>0.48299999999999998</v>
      </c>
      <c r="N48" s="49">
        <v>2.23</v>
      </c>
      <c r="O48" s="53">
        <f t="shared" si="1"/>
        <v>2.2299999999999998E-6</v>
      </c>
      <c r="P48" s="49">
        <v>18</v>
      </c>
      <c r="Q48" s="49">
        <v>11</v>
      </c>
    </row>
    <row r="49" spans="9:17" x14ac:dyDescent="0.2">
      <c r="I49" s="54">
        <v>12</v>
      </c>
      <c r="J49" s="54">
        <v>40</v>
      </c>
      <c r="K49" s="54">
        <v>1032</v>
      </c>
      <c r="L49" s="54">
        <v>3780</v>
      </c>
      <c r="M49" s="54">
        <v>0.48899999999999999</v>
      </c>
      <c r="N49" s="54">
        <v>1.39</v>
      </c>
      <c r="O49" s="58">
        <f t="shared" si="1"/>
        <v>1.3899999999999998E-6</v>
      </c>
      <c r="P49" s="54">
        <v>11</v>
      </c>
      <c r="Q49" s="54">
        <v>12</v>
      </c>
    </row>
  </sheetData>
  <sheetProtection algorithmName="SHA-512" hashValue="03kPoZ+3KPsk+NUeYp8eRFNzcXz4G9qvCjhyeXt/DUKJtvq8jYy78NCzuenfHK0I0Hwdu6sPvd4w0EX+05A/mQ==" saltValue="mkmIqDQoTwrFNcgj4CPrhw==" spinCount="100000" sheet="1" objects="1" scenarios="1"/>
  <pageMargins left="0.78749999999999998" right="0.78749999999999998" top="1.05277777777778" bottom="1.05277777777778" header="0.78749999999999998" footer="0.78749999999999998"/>
  <pageSetup orientation="portrait" horizontalDpi="300" verticalDpi="300"/>
  <headerFooter>
    <oddHeader>&amp;C&amp;"Times New Roman,Regular"&amp;12&amp;A</oddHeader>
    <oddFooter>&amp;C&amp;"Times New Roman,Regular"&amp;12Page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79998168889431442"/>
  </sheetPr>
  <dimension ref="A1:AMM50"/>
  <sheetViews>
    <sheetView zoomScale="70" zoomScaleNormal="70" workbookViewId="0">
      <selection activeCell="Q67" sqref="Q67"/>
    </sheetView>
  </sheetViews>
  <sheetFormatPr baseColWidth="10" defaultColWidth="11.5703125" defaultRowHeight="12.75" x14ac:dyDescent="0.2"/>
  <cols>
    <col min="1" max="1" width="43" style="38" customWidth="1"/>
    <col min="2" max="5" width="14.140625" style="38" customWidth="1"/>
    <col min="6" max="6" width="29.7109375" style="38" customWidth="1"/>
    <col min="7" max="8" width="11.7109375" style="38" customWidth="1"/>
    <col min="9" max="9" width="11.28515625" style="38" customWidth="1"/>
    <col min="10" max="10" width="20.7109375" style="38" customWidth="1"/>
    <col min="11" max="12" width="13.5703125" style="38" customWidth="1"/>
    <col min="13" max="15" width="11.7109375" style="38" customWidth="1"/>
    <col min="16" max="16" width="13.42578125" style="38" customWidth="1"/>
    <col min="17" max="17" width="25.28515625" style="38" customWidth="1"/>
    <col min="18" max="19" width="13.5703125" style="38" customWidth="1"/>
    <col min="20" max="1027" width="11.7109375" style="38" customWidth="1"/>
  </cols>
  <sheetData>
    <row r="1" spans="1:23" ht="20.25" x14ac:dyDescent="0.2">
      <c r="A1" s="60" t="s">
        <v>92</v>
      </c>
      <c r="B1" s="61"/>
      <c r="C1" s="61"/>
      <c r="D1" s="61"/>
      <c r="E1" s="61"/>
      <c r="F1" s="62"/>
      <c r="J1" s="17" t="s">
        <v>6</v>
      </c>
      <c r="K1" s="63" t="s">
        <v>93</v>
      </c>
      <c r="L1" s="64" t="s">
        <v>94</v>
      </c>
      <c r="M1" s="65" t="s">
        <v>95</v>
      </c>
      <c r="N1" s="66" t="s">
        <v>96</v>
      </c>
      <c r="O1" s="38" t="s">
        <v>97</v>
      </c>
      <c r="Q1" s="17" t="s">
        <v>98</v>
      </c>
      <c r="R1" s="63" t="s">
        <v>93</v>
      </c>
      <c r="S1" s="64" t="s">
        <v>94</v>
      </c>
      <c r="T1" s="65" t="s">
        <v>95</v>
      </c>
      <c r="U1" s="66" t="s">
        <v>96</v>
      </c>
      <c r="V1" s="38" t="s">
        <v>97</v>
      </c>
    </row>
    <row r="2" spans="1:23" ht="15" x14ac:dyDescent="0.2">
      <c r="A2" s="67"/>
      <c r="B2" s="745" t="s">
        <v>1</v>
      </c>
      <c r="C2" s="745"/>
      <c r="D2" s="745"/>
      <c r="E2" s="745"/>
      <c r="F2" s="745"/>
      <c r="J2" s="49">
        <v>0</v>
      </c>
      <c r="K2" s="49">
        <v>7</v>
      </c>
      <c r="L2" s="49">
        <v>0</v>
      </c>
      <c r="M2" s="49">
        <v>5</v>
      </c>
      <c r="N2" s="49">
        <v>3</v>
      </c>
      <c r="O2" s="38">
        <f t="shared" ref="O2:O27" si="0">SUM(K2:N2)</f>
        <v>15</v>
      </c>
      <c r="P2" s="68">
        <f t="shared" ref="P2:P27" si="1">$O$28</f>
        <v>21</v>
      </c>
      <c r="Q2" s="240">
        <v>0</v>
      </c>
      <c r="R2" s="49">
        <v>9</v>
      </c>
      <c r="S2" s="49">
        <v>6</v>
      </c>
      <c r="T2" s="49">
        <v>7</v>
      </c>
      <c r="U2" s="49">
        <v>3</v>
      </c>
      <c r="V2" s="38">
        <f t="shared" ref="V2" si="2">SUM(R2:U2)</f>
        <v>25</v>
      </c>
    </row>
    <row r="3" spans="1:23" ht="15" x14ac:dyDescent="0.2">
      <c r="A3" s="69" t="s">
        <v>5</v>
      </c>
      <c r="B3" s="70" t="s">
        <v>6</v>
      </c>
      <c r="C3" s="70" t="s">
        <v>115</v>
      </c>
      <c r="D3" s="70" t="s">
        <v>116</v>
      </c>
      <c r="E3" s="70" t="s">
        <v>117</v>
      </c>
      <c r="F3" s="71" t="s">
        <v>98</v>
      </c>
      <c r="J3" s="49">
        <v>5</v>
      </c>
      <c r="K3" s="49">
        <v>7</v>
      </c>
      <c r="L3" s="49">
        <v>0</v>
      </c>
      <c r="M3" s="49">
        <v>5</v>
      </c>
      <c r="N3" s="49">
        <v>3</v>
      </c>
      <c r="O3" s="38">
        <f t="shared" si="0"/>
        <v>15</v>
      </c>
      <c r="P3" s="68">
        <f t="shared" si="1"/>
        <v>21</v>
      </c>
      <c r="Q3" s="49">
        <v>0.1</v>
      </c>
      <c r="R3" s="49">
        <v>9</v>
      </c>
      <c r="S3" s="49">
        <v>6</v>
      </c>
      <c r="T3" s="49">
        <v>7</v>
      </c>
      <c r="U3" s="49">
        <v>3</v>
      </c>
      <c r="V3" s="38">
        <f t="shared" ref="V3:V28" si="3">SUM(R3:U3)</f>
        <v>25</v>
      </c>
      <c r="W3" s="68">
        <f t="shared" ref="W3:W13" si="4">$V$29</f>
        <v>27</v>
      </c>
    </row>
    <row r="4" spans="1:23" ht="15" x14ac:dyDescent="0.2">
      <c r="A4" s="72" t="s">
        <v>0</v>
      </c>
      <c r="B4" s="73">
        <f>Eingabe!D24</f>
        <v>12.2</v>
      </c>
      <c r="C4" s="73">
        <f>IF(Eingabe!A13=TRUE,Eingabe!D24-Eingabe!E26,"")</f>
        <v>5.9999999999999991</v>
      </c>
      <c r="D4" s="73">
        <f>IF(Eingabe!A14=TRUE,Eingabe!D24+Eingabe!E27,"")</f>
        <v>17.2</v>
      </c>
      <c r="E4" s="73"/>
      <c r="F4" s="74">
        <f>Wärmeübertrager!N4</f>
        <v>10.500672043010752</v>
      </c>
      <c r="J4" s="49">
        <v>10</v>
      </c>
      <c r="K4" s="49">
        <v>8</v>
      </c>
      <c r="L4" s="49">
        <v>0</v>
      </c>
      <c r="M4" s="49">
        <v>5</v>
      </c>
      <c r="N4" s="49">
        <v>3</v>
      </c>
      <c r="O4" s="38">
        <f t="shared" si="0"/>
        <v>16</v>
      </c>
      <c r="P4" s="68">
        <f t="shared" si="1"/>
        <v>21</v>
      </c>
      <c r="Q4" s="49">
        <v>0.2</v>
      </c>
      <c r="R4" s="49">
        <v>9</v>
      </c>
      <c r="S4" s="49">
        <v>6</v>
      </c>
      <c r="T4" s="49">
        <v>7</v>
      </c>
      <c r="U4" s="49">
        <v>3</v>
      </c>
      <c r="V4" s="38">
        <f t="shared" si="3"/>
        <v>25</v>
      </c>
      <c r="W4" s="68">
        <f t="shared" si="4"/>
        <v>27</v>
      </c>
    </row>
    <row r="5" spans="1:23" x14ac:dyDescent="0.2">
      <c r="A5" s="16"/>
      <c r="B5" s="75"/>
      <c r="C5" s="75"/>
      <c r="D5" s="75"/>
      <c r="E5" s="75"/>
      <c r="F5" s="75"/>
      <c r="J5" s="49">
        <v>15</v>
      </c>
      <c r="K5" s="49">
        <v>9</v>
      </c>
      <c r="L5" s="49">
        <v>0</v>
      </c>
      <c r="M5" s="49">
        <v>5</v>
      </c>
      <c r="N5" s="49">
        <v>3</v>
      </c>
      <c r="O5" s="38">
        <f t="shared" si="0"/>
        <v>17</v>
      </c>
      <c r="P5" s="68">
        <f t="shared" si="1"/>
        <v>21</v>
      </c>
      <c r="Q5" s="49">
        <v>0.3</v>
      </c>
      <c r="R5" s="49">
        <v>10</v>
      </c>
      <c r="S5" s="49">
        <v>7</v>
      </c>
      <c r="T5" s="49">
        <v>7</v>
      </c>
      <c r="U5" s="49">
        <v>3</v>
      </c>
      <c r="V5" s="38">
        <f t="shared" si="3"/>
        <v>27</v>
      </c>
      <c r="W5" s="68">
        <f t="shared" si="4"/>
        <v>27</v>
      </c>
    </row>
    <row r="6" spans="1:23" x14ac:dyDescent="0.2">
      <c r="A6" s="76" t="s">
        <v>33</v>
      </c>
      <c r="B6" s="17">
        <f>VLOOKUP($B$4,$J$2:$N$27,2)</f>
        <v>8</v>
      </c>
      <c r="C6" s="80">
        <f>IF(C4&lt;&gt;"",VLOOKUP($C$4,$J$2:$N$27,2),"")</f>
        <v>7</v>
      </c>
      <c r="D6" s="80">
        <f>IF(D4&lt;&gt;"",VLOOKUP($D$4,$J$2:$N$27,2),"")</f>
        <v>9</v>
      </c>
      <c r="E6" s="80"/>
      <c r="F6" s="17">
        <f>VLOOKUP($F$4,$Q$2:$U$28,2)</f>
        <v>0</v>
      </c>
      <c r="G6" s="31">
        <f>AVERAGE(B6:F6)</f>
        <v>6</v>
      </c>
      <c r="J6" s="49">
        <v>20</v>
      </c>
      <c r="K6" s="49">
        <v>9</v>
      </c>
      <c r="L6" s="49">
        <v>1</v>
      </c>
      <c r="M6" s="49">
        <v>5</v>
      </c>
      <c r="N6" s="49">
        <v>4</v>
      </c>
      <c r="O6" s="38">
        <f t="shared" si="0"/>
        <v>19</v>
      </c>
      <c r="P6" s="68">
        <f t="shared" si="1"/>
        <v>21</v>
      </c>
      <c r="Q6" s="49">
        <v>0.4</v>
      </c>
      <c r="R6" s="49">
        <v>10</v>
      </c>
      <c r="S6" s="49">
        <v>7</v>
      </c>
      <c r="T6" s="49">
        <v>7</v>
      </c>
      <c r="U6" s="49">
        <v>3</v>
      </c>
      <c r="V6" s="38">
        <f t="shared" si="3"/>
        <v>27</v>
      </c>
      <c r="W6" s="68">
        <f t="shared" si="4"/>
        <v>27</v>
      </c>
    </row>
    <row r="7" spans="1:23" x14ac:dyDescent="0.2">
      <c r="A7" s="76" t="s">
        <v>35</v>
      </c>
      <c r="B7" s="17">
        <f>VLOOKUP($B$4,$J$2:$N$27,3)</f>
        <v>0</v>
      </c>
      <c r="C7" s="80">
        <f>IF(C4&lt;&gt;"",VLOOKUP($C$4,$J$2:$N$27,3),"")</f>
        <v>0</v>
      </c>
      <c r="D7" s="80">
        <f>IF(D4&lt;&gt;"",VLOOKUP($D$4,$J$2:$N$27,3),"")</f>
        <v>0</v>
      </c>
      <c r="E7" s="80"/>
      <c r="F7" s="17">
        <f>VLOOKUP($F$4,$Q$2:$U$28,3)</f>
        <v>5</v>
      </c>
      <c r="G7" s="31">
        <f>AVERAGE(B7:F7)</f>
        <v>1.25</v>
      </c>
      <c r="J7" s="49">
        <v>25</v>
      </c>
      <c r="K7" s="49">
        <v>10</v>
      </c>
      <c r="L7" s="49">
        <v>1</v>
      </c>
      <c r="M7" s="49">
        <v>5</v>
      </c>
      <c r="N7" s="49">
        <v>4</v>
      </c>
      <c r="O7" s="38">
        <f t="shared" si="0"/>
        <v>20</v>
      </c>
      <c r="P7" s="68">
        <f t="shared" si="1"/>
        <v>21</v>
      </c>
      <c r="Q7" s="49">
        <v>0.5</v>
      </c>
      <c r="R7" s="49">
        <v>10</v>
      </c>
      <c r="S7" s="49">
        <v>7</v>
      </c>
      <c r="T7" s="49">
        <v>7</v>
      </c>
      <c r="U7" s="49">
        <v>3</v>
      </c>
      <c r="V7" s="38">
        <f t="shared" si="3"/>
        <v>27</v>
      </c>
      <c r="W7" s="68">
        <f t="shared" si="4"/>
        <v>27</v>
      </c>
    </row>
    <row r="8" spans="1:23" x14ac:dyDescent="0.2">
      <c r="A8" s="76" t="s">
        <v>36</v>
      </c>
      <c r="B8" s="17">
        <f>VLOOKUP($B$4,$J$2:$N$27,4)</f>
        <v>5</v>
      </c>
      <c r="C8" s="80">
        <f>IF(C4&lt;&gt;"",VLOOKUP($C$4,$J$2:$N$27,4),"")</f>
        <v>5</v>
      </c>
      <c r="D8" s="80">
        <f>IF(D4&lt;&gt;"",VLOOKUP($D$4,$J$2:$N$27,4),"")</f>
        <v>5</v>
      </c>
      <c r="E8" s="80"/>
      <c r="F8" s="80">
        <f>VLOOKUP($F$4,$Q$2:$U$28,4)</f>
        <v>0</v>
      </c>
      <c r="G8" s="31">
        <f>AVERAGE(B8:F8)</f>
        <v>3.75</v>
      </c>
      <c r="J8" s="49">
        <v>30</v>
      </c>
      <c r="K8" s="49">
        <v>10</v>
      </c>
      <c r="L8" s="49">
        <v>1</v>
      </c>
      <c r="M8" s="49">
        <v>5</v>
      </c>
      <c r="N8" s="49">
        <v>4</v>
      </c>
      <c r="O8" s="38">
        <f t="shared" si="0"/>
        <v>20</v>
      </c>
      <c r="P8" s="68">
        <f t="shared" si="1"/>
        <v>21</v>
      </c>
      <c r="Q8" s="49">
        <v>0.6</v>
      </c>
      <c r="R8" s="49">
        <v>10</v>
      </c>
      <c r="S8" s="49">
        <v>7</v>
      </c>
      <c r="T8" s="49">
        <v>6</v>
      </c>
      <c r="U8" s="49">
        <v>4</v>
      </c>
      <c r="V8" s="38">
        <f t="shared" si="3"/>
        <v>27</v>
      </c>
      <c r="W8" s="68">
        <f t="shared" si="4"/>
        <v>27</v>
      </c>
    </row>
    <row r="9" spans="1:23" x14ac:dyDescent="0.2">
      <c r="A9" s="76" t="s">
        <v>38</v>
      </c>
      <c r="B9" s="17">
        <f>VLOOKUP($B$4,$J$2:$N$27,5)</f>
        <v>3</v>
      </c>
      <c r="C9" s="80">
        <f>IF(C4&lt;&gt;"",VLOOKUP($C$4,$J$2:$N$27,5),"")</f>
        <v>3</v>
      </c>
      <c r="D9" s="80">
        <f>IF(D4&lt;&gt;"",VLOOKUP($D$4,$J$2:$N$27,5),"")</f>
        <v>3</v>
      </c>
      <c r="E9" s="80"/>
      <c r="F9" s="80">
        <f>VLOOKUP($F$4,$Q$2:$U$28,5)</f>
        <v>1</v>
      </c>
      <c r="G9" s="31">
        <f>AVERAGE(B9:F9)</f>
        <v>2.5</v>
      </c>
      <c r="J9" s="49">
        <v>35</v>
      </c>
      <c r="K9" s="49">
        <v>10</v>
      </c>
      <c r="L9" s="49">
        <v>1</v>
      </c>
      <c r="M9" s="49">
        <v>5</v>
      </c>
      <c r="N9" s="49">
        <v>4</v>
      </c>
      <c r="O9" s="38">
        <f t="shared" si="0"/>
        <v>20</v>
      </c>
      <c r="P9" s="68">
        <f t="shared" si="1"/>
        <v>21</v>
      </c>
      <c r="Q9" s="49">
        <v>0.7</v>
      </c>
      <c r="R9" s="49">
        <v>9</v>
      </c>
      <c r="S9" s="49">
        <v>7</v>
      </c>
      <c r="T9" s="49">
        <v>5</v>
      </c>
      <c r="U9" s="49">
        <v>4</v>
      </c>
      <c r="V9" s="38">
        <f t="shared" si="3"/>
        <v>25</v>
      </c>
      <c r="W9" s="68">
        <f t="shared" si="4"/>
        <v>27</v>
      </c>
    </row>
    <row r="10" spans="1:23" x14ac:dyDescent="0.2">
      <c r="A10" s="76" t="s">
        <v>39</v>
      </c>
      <c r="B10" s="17">
        <f>SUM(B6:B9)</f>
        <v>16</v>
      </c>
      <c r="C10" s="80">
        <f>IF(C4&lt;&gt;"",SUM(C6:C9),"")</f>
        <v>15</v>
      </c>
      <c r="D10" s="80">
        <f>IF(D4&lt;&gt;"",SUM(D6:D9),"")</f>
        <v>17</v>
      </c>
      <c r="E10" s="80">
        <f>AVERAGE(B10:D10)</f>
        <v>16</v>
      </c>
      <c r="F10" s="80">
        <f>SUM(F6:F9)</f>
        <v>6</v>
      </c>
      <c r="G10" s="31">
        <f>AVERAGE(E10:F10)</f>
        <v>11</v>
      </c>
      <c r="J10" s="49">
        <v>40</v>
      </c>
      <c r="K10" s="49">
        <v>10</v>
      </c>
      <c r="L10" s="49">
        <v>2</v>
      </c>
      <c r="M10" s="49">
        <v>5</v>
      </c>
      <c r="N10" s="49">
        <v>4</v>
      </c>
      <c r="O10" s="38">
        <f t="shared" si="0"/>
        <v>21</v>
      </c>
      <c r="P10" s="68">
        <f t="shared" si="1"/>
        <v>21</v>
      </c>
      <c r="Q10" s="49">
        <v>0.8</v>
      </c>
      <c r="R10" s="49">
        <v>9</v>
      </c>
      <c r="S10" s="49">
        <v>7</v>
      </c>
      <c r="T10" s="49">
        <v>4</v>
      </c>
      <c r="U10" s="49">
        <v>4</v>
      </c>
      <c r="V10" s="38">
        <f t="shared" si="3"/>
        <v>24</v>
      </c>
      <c r="W10" s="68">
        <f t="shared" si="4"/>
        <v>27</v>
      </c>
    </row>
    <row r="11" spans="1:23" x14ac:dyDescent="0.2">
      <c r="A11" s="84" t="s">
        <v>107</v>
      </c>
      <c r="B11" s="85">
        <f>$O$28-B10</f>
        <v>5</v>
      </c>
      <c r="C11" s="85">
        <f>IF(C4&lt;&gt;"",$O$28-C10,"")</f>
        <v>6</v>
      </c>
      <c r="D11" s="85">
        <f>IF(D4&lt;&gt;"",$O$28-D10,"")</f>
        <v>4</v>
      </c>
      <c r="E11" s="85">
        <f t="shared" ref="E11" si="5">$O$28-E10</f>
        <v>5</v>
      </c>
      <c r="F11" s="85">
        <f>V29-F10</f>
        <v>21</v>
      </c>
      <c r="G11" s="31">
        <f>SUM(E11:F11)</f>
        <v>26</v>
      </c>
      <c r="J11" s="49">
        <v>45</v>
      </c>
      <c r="K11" s="49">
        <v>10</v>
      </c>
      <c r="L11" s="49">
        <v>2</v>
      </c>
      <c r="M11" s="49">
        <v>5</v>
      </c>
      <c r="N11" s="49">
        <v>4</v>
      </c>
      <c r="O11" s="38">
        <f t="shared" si="0"/>
        <v>21</v>
      </c>
      <c r="P11" s="68">
        <f t="shared" si="1"/>
        <v>21</v>
      </c>
      <c r="Q11" s="49">
        <v>0.9</v>
      </c>
      <c r="R11" s="49">
        <v>8</v>
      </c>
      <c r="S11" s="49">
        <v>7</v>
      </c>
      <c r="T11" s="49">
        <v>3</v>
      </c>
      <c r="U11" s="49">
        <v>4</v>
      </c>
      <c r="V11" s="38">
        <f t="shared" si="3"/>
        <v>22</v>
      </c>
      <c r="W11" s="68">
        <f t="shared" si="4"/>
        <v>27</v>
      </c>
    </row>
    <row r="12" spans="1:23" x14ac:dyDescent="0.2">
      <c r="A12" s="84" t="s">
        <v>204</v>
      </c>
      <c r="B12" s="112">
        <f>B11*10/O28</f>
        <v>2.3809523809523809</v>
      </c>
      <c r="C12" s="112">
        <f>IF(C4&lt;&gt;"",C11*10/O28,"")</f>
        <v>2.8571428571428572</v>
      </c>
      <c r="D12" s="112">
        <f>IF(D4&lt;&gt;"",D11*10/O28,"")</f>
        <v>1.9047619047619047</v>
      </c>
      <c r="E12" s="85">
        <f>E11*10/O28</f>
        <v>2.3809523809523809</v>
      </c>
      <c r="F12" s="85">
        <f>F11*10/V29</f>
        <v>7.7777777777777777</v>
      </c>
      <c r="G12" s="103">
        <f>AVERAGE(E12:F12)</f>
        <v>5.0793650793650791</v>
      </c>
      <c r="J12" s="49">
        <v>50</v>
      </c>
      <c r="K12" s="49">
        <v>10</v>
      </c>
      <c r="L12" s="49">
        <v>2</v>
      </c>
      <c r="M12" s="49">
        <v>5</v>
      </c>
      <c r="N12" s="49">
        <v>4</v>
      </c>
      <c r="O12" s="38">
        <f t="shared" si="0"/>
        <v>21</v>
      </c>
      <c r="P12" s="68">
        <f t="shared" si="1"/>
        <v>21</v>
      </c>
      <c r="Q12" s="49">
        <v>1</v>
      </c>
      <c r="R12" s="49">
        <v>7</v>
      </c>
      <c r="S12" s="49">
        <v>7</v>
      </c>
      <c r="T12" s="49">
        <v>2</v>
      </c>
      <c r="U12" s="49">
        <v>4</v>
      </c>
      <c r="V12" s="38">
        <f t="shared" si="3"/>
        <v>20</v>
      </c>
      <c r="W12" s="68">
        <f t="shared" si="4"/>
        <v>27</v>
      </c>
    </row>
    <row r="13" spans="1:23" x14ac:dyDescent="0.2">
      <c r="A13" s="76" t="s">
        <v>108</v>
      </c>
      <c r="B13" s="18">
        <f>B10/O28</f>
        <v>0.76190476190476186</v>
      </c>
      <c r="C13" s="18"/>
      <c r="D13" s="18"/>
      <c r="E13" s="18"/>
      <c r="F13" s="18"/>
      <c r="G13" s="18">
        <f>G10/W29*2</f>
        <v>0.45833333333333331</v>
      </c>
      <c r="J13" s="49"/>
      <c r="K13" s="49"/>
      <c r="L13" s="49"/>
      <c r="M13" s="49"/>
      <c r="N13" s="49"/>
      <c r="P13" s="68"/>
      <c r="Q13" s="49">
        <v>1.1000000000000001</v>
      </c>
      <c r="R13" s="49">
        <v>7</v>
      </c>
      <c r="S13" s="49">
        <v>6</v>
      </c>
      <c r="T13" s="49">
        <v>2</v>
      </c>
      <c r="U13" s="49">
        <v>4</v>
      </c>
      <c r="V13" s="38">
        <f t="shared" si="3"/>
        <v>19</v>
      </c>
      <c r="W13" s="68">
        <f t="shared" si="4"/>
        <v>27</v>
      </c>
    </row>
    <row r="14" spans="1:23" x14ac:dyDescent="0.2">
      <c r="A14" s="76" t="s">
        <v>109</v>
      </c>
      <c r="B14" s="18"/>
      <c r="C14" s="18"/>
      <c r="D14" s="18"/>
      <c r="E14" s="18">
        <f>E12/10</f>
        <v>0.23809523809523808</v>
      </c>
      <c r="F14" s="18">
        <f>F12/10</f>
        <v>0.77777777777777779</v>
      </c>
      <c r="G14" s="18">
        <f>AVERAGE(E14:F14)</f>
        <v>0.50793650793650791</v>
      </c>
      <c r="J14" s="49">
        <v>55</v>
      </c>
      <c r="K14" s="49">
        <v>9</v>
      </c>
      <c r="L14" s="49">
        <v>3</v>
      </c>
      <c r="M14" s="49">
        <v>5</v>
      </c>
      <c r="N14" s="49">
        <v>4</v>
      </c>
      <c r="O14" s="38">
        <f t="shared" si="0"/>
        <v>21</v>
      </c>
      <c r="P14" s="68">
        <f t="shared" si="1"/>
        <v>21</v>
      </c>
      <c r="Q14" s="49"/>
      <c r="R14" s="49"/>
      <c r="S14" s="49"/>
      <c r="T14" s="49"/>
      <c r="U14" s="49"/>
      <c r="W14" s="68"/>
    </row>
    <row r="15" spans="1:23" x14ac:dyDescent="0.2">
      <c r="A15" s="84" t="s">
        <v>34</v>
      </c>
      <c r="E15" s="103">
        <f>(21-E10)/21*10</f>
        <v>2.3809523809523809</v>
      </c>
      <c r="F15" s="103">
        <f>(27-F10)/27*10</f>
        <v>7.7777777777777777</v>
      </c>
      <c r="J15" s="49">
        <v>60</v>
      </c>
      <c r="K15" s="49">
        <v>8</v>
      </c>
      <c r="L15" s="49">
        <v>3</v>
      </c>
      <c r="M15" s="49">
        <v>5</v>
      </c>
      <c r="N15" s="49">
        <v>4</v>
      </c>
      <c r="O15" s="38">
        <f t="shared" si="0"/>
        <v>20</v>
      </c>
      <c r="P15" s="68">
        <f t="shared" si="1"/>
        <v>21</v>
      </c>
      <c r="Q15" s="49">
        <v>1.2</v>
      </c>
      <c r="R15" s="49">
        <v>6</v>
      </c>
      <c r="S15" s="49">
        <v>6</v>
      </c>
      <c r="T15" s="49">
        <v>1</v>
      </c>
      <c r="U15" s="49">
        <v>4</v>
      </c>
      <c r="V15" s="38">
        <f t="shared" si="3"/>
        <v>17</v>
      </c>
      <c r="W15" s="68">
        <f t="shared" ref="W15:W28" si="6">$V$29</f>
        <v>27</v>
      </c>
    </row>
    <row r="16" spans="1:23" x14ac:dyDescent="0.2">
      <c r="A16" s="31" t="s">
        <v>28</v>
      </c>
      <c r="B16" s="31" t="str">
        <f>IF(AND(B6&gt;B7,B6&gt;B8,B6&gt;B9),$A$6,IF(AND(B7&gt;B6,B7&gt;B8,B7&gt;B9),$A$7,IF(AND(B8&gt;B7,B8&gt;B6,B8&gt;B9),$A$8,$A$9)))</f>
        <v>Biofouling</v>
      </c>
      <c r="C16" s="31"/>
      <c r="D16" s="31"/>
      <c r="E16" s="31"/>
      <c r="F16" s="31" t="str">
        <f>IF(AND(F6&gt;F7,F6&gt;F8,F6&gt;F9),$A$6,IF(AND(F7&gt;F6,F7&gt;F8,F7&gt;F9),$A$7,IF(AND(F8&gt;F7,F8&gt;F6,F8&gt;F9),$A$8,$A$9)))</f>
        <v>Kristallisationsfouling</v>
      </c>
      <c r="G16" s="31" t="str">
        <f>IF(AND(G6&gt;G7,G6&gt;G8,G6&gt;G9),$A$6,IF(AND(G7&gt;G6,G7&gt;G8,G7&gt;G9),$A$7,IF(AND(G8&gt;G7,G8&gt;G6,G8&gt;G9),$A$8,$A$9)))</f>
        <v>Biofouling</v>
      </c>
      <c r="J16" s="49">
        <v>65</v>
      </c>
      <c r="K16" s="49">
        <v>8</v>
      </c>
      <c r="L16" s="49">
        <v>3</v>
      </c>
      <c r="M16" s="49">
        <v>6</v>
      </c>
      <c r="N16" s="49">
        <v>4</v>
      </c>
      <c r="O16" s="38">
        <f t="shared" si="0"/>
        <v>21</v>
      </c>
      <c r="P16" s="68">
        <f t="shared" si="1"/>
        <v>21</v>
      </c>
      <c r="Q16" s="49">
        <v>1.3</v>
      </c>
      <c r="R16" s="49">
        <v>5</v>
      </c>
      <c r="S16" s="49">
        <v>6</v>
      </c>
      <c r="T16" s="49">
        <v>1</v>
      </c>
      <c r="U16" s="49">
        <v>4</v>
      </c>
      <c r="V16" s="38">
        <f t="shared" si="3"/>
        <v>16</v>
      </c>
      <c r="W16" s="68">
        <f t="shared" si="6"/>
        <v>27</v>
      </c>
    </row>
    <row r="17" spans="1:23" x14ac:dyDescent="0.2">
      <c r="J17" s="49">
        <v>70</v>
      </c>
      <c r="K17" s="49">
        <v>7</v>
      </c>
      <c r="L17" s="49">
        <v>4</v>
      </c>
      <c r="M17" s="49">
        <v>6</v>
      </c>
      <c r="N17" s="49">
        <v>4</v>
      </c>
      <c r="O17" s="38">
        <f t="shared" si="0"/>
        <v>21</v>
      </c>
      <c r="P17" s="68">
        <f t="shared" si="1"/>
        <v>21</v>
      </c>
      <c r="Q17" s="49">
        <v>1.4</v>
      </c>
      <c r="R17" s="49">
        <v>4</v>
      </c>
      <c r="S17" s="49">
        <v>6</v>
      </c>
      <c r="T17" s="49">
        <v>1</v>
      </c>
      <c r="U17" s="49">
        <v>4</v>
      </c>
      <c r="V17" s="38">
        <f t="shared" si="3"/>
        <v>15</v>
      </c>
      <c r="W17" s="68">
        <f t="shared" si="6"/>
        <v>27</v>
      </c>
    </row>
    <row r="18" spans="1:23" x14ac:dyDescent="0.2">
      <c r="B18" s="38">
        <f>B11/21*10</f>
        <v>2.3809523809523809</v>
      </c>
      <c r="C18" s="38">
        <f t="shared" ref="C18:D18" si="7">C11/21*10</f>
        <v>2.8571428571428568</v>
      </c>
      <c r="D18" s="38">
        <f t="shared" si="7"/>
        <v>1.9047619047619047</v>
      </c>
      <c r="J18" s="49">
        <v>75</v>
      </c>
      <c r="K18" s="49">
        <v>6</v>
      </c>
      <c r="L18" s="49">
        <v>4</v>
      </c>
      <c r="M18" s="49">
        <v>6</v>
      </c>
      <c r="N18" s="49">
        <v>4</v>
      </c>
      <c r="O18" s="38">
        <f t="shared" si="0"/>
        <v>20</v>
      </c>
      <c r="P18" s="68">
        <f t="shared" si="1"/>
        <v>21</v>
      </c>
      <c r="Q18" s="49">
        <v>1.5</v>
      </c>
      <c r="R18" s="49">
        <v>4</v>
      </c>
      <c r="S18" s="49">
        <v>6</v>
      </c>
      <c r="T18" s="49">
        <v>0</v>
      </c>
      <c r="U18" s="49">
        <v>4</v>
      </c>
      <c r="V18" s="38">
        <f t="shared" si="3"/>
        <v>14</v>
      </c>
      <c r="W18" s="68">
        <f t="shared" si="6"/>
        <v>27</v>
      </c>
    </row>
    <row r="19" spans="1:23" x14ac:dyDescent="0.2">
      <c r="J19" s="49">
        <v>80</v>
      </c>
      <c r="K19" s="49">
        <v>5</v>
      </c>
      <c r="L19" s="49">
        <v>5</v>
      </c>
      <c r="M19" s="49">
        <v>6</v>
      </c>
      <c r="N19" s="49">
        <v>4</v>
      </c>
      <c r="O19" s="38">
        <f t="shared" si="0"/>
        <v>20</v>
      </c>
      <c r="P19" s="68">
        <f t="shared" si="1"/>
        <v>21</v>
      </c>
      <c r="Q19" s="49">
        <v>1.6</v>
      </c>
      <c r="R19" s="49">
        <v>3</v>
      </c>
      <c r="S19" s="49">
        <v>6</v>
      </c>
      <c r="T19" s="49">
        <v>0</v>
      </c>
      <c r="U19" s="49">
        <v>3</v>
      </c>
      <c r="V19" s="38">
        <f t="shared" si="3"/>
        <v>12</v>
      </c>
      <c r="W19" s="68">
        <f t="shared" si="6"/>
        <v>27</v>
      </c>
    </row>
    <row r="20" spans="1:23" ht="15" x14ac:dyDescent="0.2">
      <c r="A20" s="67"/>
      <c r="B20" s="745" t="s">
        <v>1</v>
      </c>
      <c r="C20" s="745"/>
      <c r="D20" s="745"/>
      <c r="E20" s="745"/>
      <c r="F20" s="745"/>
      <c r="J20" s="49">
        <v>90</v>
      </c>
      <c r="K20" s="49">
        <v>4</v>
      </c>
      <c r="L20" s="49">
        <v>6</v>
      </c>
      <c r="M20" s="49">
        <v>6</v>
      </c>
      <c r="N20" s="49">
        <v>3</v>
      </c>
      <c r="O20" s="38">
        <f t="shared" si="0"/>
        <v>19</v>
      </c>
      <c r="P20" s="68">
        <f t="shared" si="1"/>
        <v>21</v>
      </c>
      <c r="Q20" s="49">
        <v>1.7</v>
      </c>
      <c r="R20" s="49">
        <v>3</v>
      </c>
      <c r="S20" s="49">
        <v>6</v>
      </c>
      <c r="T20" s="49">
        <v>0</v>
      </c>
      <c r="U20" s="49">
        <v>3</v>
      </c>
      <c r="V20" s="38">
        <f t="shared" si="3"/>
        <v>12</v>
      </c>
      <c r="W20" s="68">
        <f t="shared" si="6"/>
        <v>27</v>
      </c>
    </row>
    <row r="21" spans="1:23" ht="15" x14ac:dyDescent="0.2">
      <c r="A21" s="69" t="s">
        <v>5</v>
      </c>
      <c r="B21" s="70" t="s">
        <v>6</v>
      </c>
      <c r="C21" s="70" t="s">
        <v>115</v>
      </c>
      <c r="D21" s="70" t="s">
        <v>116</v>
      </c>
      <c r="E21" s="70" t="s">
        <v>117</v>
      </c>
      <c r="F21" s="71" t="s">
        <v>98</v>
      </c>
      <c r="J21" s="49">
        <v>100</v>
      </c>
      <c r="K21" s="49">
        <v>3</v>
      </c>
      <c r="L21" s="49">
        <v>8</v>
      </c>
      <c r="M21" s="49">
        <v>6</v>
      </c>
      <c r="N21" s="49">
        <v>3</v>
      </c>
      <c r="O21" s="38">
        <f t="shared" si="0"/>
        <v>20</v>
      </c>
      <c r="P21" s="68">
        <f t="shared" si="1"/>
        <v>21</v>
      </c>
      <c r="Q21" s="49">
        <v>1.8</v>
      </c>
      <c r="R21" s="49">
        <v>2</v>
      </c>
      <c r="S21" s="49">
        <v>6</v>
      </c>
      <c r="T21" s="49">
        <v>0</v>
      </c>
      <c r="U21" s="49">
        <v>3</v>
      </c>
      <c r="V21" s="38">
        <f t="shared" si="3"/>
        <v>11</v>
      </c>
      <c r="W21" s="68">
        <f t="shared" si="6"/>
        <v>27</v>
      </c>
    </row>
    <row r="22" spans="1:23" ht="15" x14ac:dyDescent="0.2">
      <c r="A22" s="72" t="s">
        <v>0</v>
      </c>
      <c r="B22" s="73">
        <f>B4-0.5</f>
        <v>11.7</v>
      </c>
      <c r="C22" s="73">
        <f>IF(Eingabe!A13=TRUE,C4-0.5,"")</f>
        <v>5.4999999999999991</v>
      </c>
      <c r="D22" s="73">
        <f>IF(Eingabe!A14=TRUE,D4-0.5,"")</f>
        <v>16.7</v>
      </c>
      <c r="E22" s="73"/>
      <c r="F22" s="74">
        <f>F4*1.015</f>
        <v>10.658182123655912</v>
      </c>
      <c r="J22" s="49">
        <v>110</v>
      </c>
      <c r="K22" s="49">
        <v>2</v>
      </c>
      <c r="L22" s="49">
        <v>9</v>
      </c>
      <c r="M22" s="49">
        <v>6</v>
      </c>
      <c r="N22" s="49">
        <v>3</v>
      </c>
      <c r="O22" s="38">
        <f t="shared" si="0"/>
        <v>20</v>
      </c>
      <c r="P22" s="68">
        <f t="shared" si="1"/>
        <v>21</v>
      </c>
      <c r="Q22" s="49">
        <v>1.9</v>
      </c>
      <c r="R22" s="49">
        <v>2</v>
      </c>
      <c r="S22" s="49">
        <v>6</v>
      </c>
      <c r="T22" s="49">
        <v>0</v>
      </c>
      <c r="U22" s="49">
        <v>3</v>
      </c>
      <c r="V22" s="38">
        <f t="shared" si="3"/>
        <v>11</v>
      </c>
      <c r="W22" s="68">
        <f t="shared" si="6"/>
        <v>27</v>
      </c>
    </row>
    <row r="23" spans="1:23" x14ac:dyDescent="0.2">
      <c r="A23" s="16"/>
      <c r="B23" s="75"/>
      <c r="C23" s="75"/>
      <c r="D23" s="75"/>
      <c r="E23" s="75"/>
      <c r="F23" s="75"/>
      <c r="J23" s="49">
        <v>120</v>
      </c>
      <c r="K23" s="49">
        <v>1</v>
      </c>
      <c r="L23" s="49"/>
      <c r="M23" s="49">
        <v>6</v>
      </c>
      <c r="N23" s="49">
        <v>2</v>
      </c>
      <c r="O23" s="38">
        <f t="shared" si="0"/>
        <v>9</v>
      </c>
      <c r="P23" s="68">
        <f t="shared" si="1"/>
        <v>21</v>
      </c>
      <c r="Q23" s="49">
        <v>2</v>
      </c>
      <c r="R23" s="49">
        <v>1</v>
      </c>
      <c r="S23" s="49">
        <v>5</v>
      </c>
      <c r="T23" s="49">
        <v>0</v>
      </c>
      <c r="U23" s="49">
        <v>2</v>
      </c>
      <c r="V23" s="38">
        <f t="shared" si="3"/>
        <v>8</v>
      </c>
      <c r="W23" s="68">
        <f t="shared" si="6"/>
        <v>27</v>
      </c>
    </row>
    <row r="24" spans="1:23" x14ac:dyDescent="0.2">
      <c r="A24" s="76" t="s">
        <v>33</v>
      </c>
      <c r="B24" s="80">
        <f>VLOOKUP($B$4,$J$2:$N$27,2)</f>
        <v>8</v>
      </c>
      <c r="C24" s="80">
        <f>IF(C22&lt;&gt;"",VLOOKUP($C$4,$J$2:$N$27,2),"")</f>
        <v>7</v>
      </c>
      <c r="D24" s="80">
        <f>IF(D22&lt;&gt;"",VLOOKUP($D$4,$J$2:$N$27,2),"")</f>
        <v>9</v>
      </c>
      <c r="E24" s="80"/>
      <c r="F24" s="80">
        <f>VLOOKUP($F$4,$Q$2:$U$28,2)</f>
        <v>0</v>
      </c>
      <c r="G24" s="31">
        <f>AVERAGE(B24:F24)</f>
        <v>6</v>
      </c>
      <c r="J24" s="49">
        <v>130</v>
      </c>
      <c r="K24" s="49">
        <v>0</v>
      </c>
      <c r="L24" s="49"/>
      <c r="M24" s="49">
        <v>7</v>
      </c>
      <c r="N24" s="49">
        <v>2</v>
      </c>
      <c r="O24" s="38">
        <f t="shared" si="0"/>
        <v>9</v>
      </c>
      <c r="P24" s="68">
        <f t="shared" si="1"/>
        <v>21</v>
      </c>
      <c r="Q24" s="49">
        <v>2.1</v>
      </c>
      <c r="R24" s="49">
        <v>1</v>
      </c>
      <c r="S24" s="49">
        <v>5</v>
      </c>
      <c r="T24" s="49">
        <v>0</v>
      </c>
      <c r="U24" s="49">
        <v>2</v>
      </c>
      <c r="V24" s="38">
        <f t="shared" si="3"/>
        <v>8</v>
      </c>
      <c r="W24" s="68">
        <f t="shared" si="6"/>
        <v>27</v>
      </c>
    </row>
    <row r="25" spans="1:23" x14ac:dyDescent="0.2">
      <c r="A25" s="76" t="s">
        <v>35</v>
      </c>
      <c r="B25" s="80">
        <f>VLOOKUP($B$4,$J$2:$N$27,3)</f>
        <v>0</v>
      </c>
      <c r="C25" s="80">
        <f>IF(C22&lt;&gt;"",VLOOKUP($C$4,$J$2:$N$27,3),"")</f>
        <v>0</v>
      </c>
      <c r="D25" s="80">
        <f>IF(D22&lt;&gt;"",VLOOKUP($D$4,$J$2:$N$27,3),"")</f>
        <v>0</v>
      </c>
      <c r="E25" s="80"/>
      <c r="F25" s="80">
        <f>VLOOKUP($F$4,$Q$2:$U$28,3)</f>
        <v>5</v>
      </c>
      <c r="G25" s="31">
        <f>AVERAGE(B25:F25)</f>
        <v>1.25</v>
      </c>
      <c r="J25" s="49">
        <v>140</v>
      </c>
      <c r="K25" s="49">
        <v>0</v>
      </c>
      <c r="L25" s="49"/>
      <c r="M25" s="49">
        <v>7</v>
      </c>
      <c r="N25" s="49">
        <v>1</v>
      </c>
      <c r="O25" s="38">
        <f t="shared" si="0"/>
        <v>8</v>
      </c>
      <c r="P25" s="68">
        <f t="shared" si="1"/>
        <v>21</v>
      </c>
      <c r="Q25" s="49">
        <v>2.2000000000000002</v>
      </c>
      <c r="R25" s="49">
        <v>0</v>
      </c>
      <c r="S25" s="49">
        <v>5</v>
      </c>
      <c r="T25" s="49">
        <v>0</v>
      </c>
      <c r="U25" s="49">
        <v>2</v>
      </c>
      <c r="V25" s="38">
        <f t="shared" si="3"/>
        <v>7</v>
      </c>
      <c r="W25" s="68">
        <f t="shared" si="6"/>
        <v>27</v>
      </c>
    </row>
    <row r="26" spans="1:23" x14ac:dyDescent="0.2">
      <c r="A26" s="76" t="s">
        <v>36</v>
      </c>
      <c r="B26" s="80">
        <f>VLOOKUP($B$4,$J$2:$N$27,4)</f>
        <v>5</v>
      </c>
      <c r="C26" s="80">
        <f>IF(C22&lt;&gt;"",VLOOKUP($C$4,$J$2:$N$27,4),"")</f>
        <v>5</v>
      </c>
      <c r="D26" s="80">
        <f>IF(D22&lt;&gt;"",VLOOKUP($D$4,$J$2:$N$27,4),"")</f>
        <v>5</v>
      </c>
      <c r="E26" s="80"/>
      <c r="F26" s="80">
        <f>VLOOKUP($F$4,$Q$2:$U$28,4)</f>
        <v>0</v>
      </c>
      <c r="G26" s="31">
        <f>AVERAGE(B26:F26)</f>
        <v>3.75</v>
      </c>
      <c r="J26" s="49">
        <v>150</v>
      </c>
      <c r="K26" s="49">
        <v>0</v>
      </c>
      <c r="L26" s="49"/>
      <c r="M26" s="49">
        <v>7</v>
      </c>
      <c r="N26" s="49">
        <v>1</v>
      </c>
      <c r="O26" s="38">
        <f t="shared" si="0"/>
        <v>8</v>
      </c>
      <c r="P26" s="68">
        <f t="shared" si="1"/>
        <v>21</v>
      </c>
      <c r="Q26" s="49">
        <v>2.2999999999999998</v>
      </c>
      <c r="R26" s="49">
        <v>0</v>
      </c>
      <c r="S26" s="49">
        <v>5</v>
      </c>
      <c r="T26" s="49">
        <v>0</v>
      </c>
      <c r="U26" s="49">
        <v>2</v>
      </c>
      <c r="V26" s="38">
        <f t="shared" si="3"/>
        <v>7</v>
      </c>
      <c r="W26" s="68">
        <f t="shared" si="6"/>
        <v>27</v>
      </c>
    </row>
    <row r="27" spans="1:23" x14ac:dyDescent="0.2">
      <c r="A27" s="76" t="s">
        <v>38</v>
      </c>
      <c r="B27" s="80">
        <f>VLOOKUP($B$4,$J$2:$N$27,5)</f>
        <v>3</v>
      </c>
      <c r="C27" s="80">
        <f>IF(C22&lt;&gt;"",VLOOKUP($C$4,$J$2:$N$27,5),"")</f>
        <v>3</v>
      </c>
      <c r="D27" s="80">
        <f>IF(D22&lt;&gt;"",VLOOKUP($D$4,$J$2:$N$27,5),"")</f>
        <v>3</v>
      </c>
      <c r="E27" s="80"/>
      <c r="F27" s="80">
        <f>VLOOKUP($F$4,$Q$2:$U$28,5)</f>
        <v>1</v>
      </c>
      <c r="G27" s="31">
        <f>AVERAGE(B27:F27)</f>
        <v>2.5</v>
      </c>
      <c r="J27" s="54">
        <v>160</v>
      </c>
      <c r="K27" s="54">
        <v>0</v>
      </c>
      <c r="L27" s="54"/>
      <c r="M27" s="54">
        <v>7</v>
      </c>
      <c r="N27" s="54">
        <v>0</v>
      </c>
      <c r="O27" s="38">
        <f t="shared" si="0"/>
        <v>7</v>
      </c>
      <c r="P27" s="68">
        <f t="shared" si="1"/>
        <v>21</v>
      </c>
      <c r="Q27" s="49">
        <v>2.4</v>
      </c>
      <c r="R27" s="49">
        <v>0</v>
      </c>
      <c r="S27" s="49">
        <v>5</v>
      </c>
      <c r="T27" s="49">
        <v>0</v>
      </c>
      <c r="U27" s="49">
        <v>1</v>
      </c>
      <c r="V27" s="38">
        <f t="shared" si="3"/>
        <v>6</v>
      </c>
      <c r="W27" s="68">
        <f t="shared" si="6"/>
        <v>27</v>
      </c>
    </row>
    <row r="28" spans="1:23" x14ac:dyDescent="0.2">
      <c r="A28" s="76" t="s">
        <v>39</v>
      </c>
      <c r="B28" s="80">
        <f>SUM(B24:B27)</f>
        <v>16</v>
      </c>
      <c r="C28" s="80">
        <f>IF(C22&lt;&gt;"",SUM(C24:C27),"")</f>
        <v>15</v>
      </c>
      <c r="D28" s="80">
        <f>IF(D22&lt;&gt;"",SUM(D24:D27),"")</f>
        <v>17</v>
      </c>
      <c r="E28" s="80">
        <f>AVERAGE(B28:D28)</f>
        <v>16</v>
      </c>
      <c r="F28" s="80">
        <f>SUM(F24:F27)</f>
        <v>6</v>
      </c>
      <c r="G28" s="31">
        <f>AVERAGE(E28:F28)</f>
        <v>11</v>
      </c>
      <c r="J28" s="39"/>
      <c r="O28" s="38">
        <f>MAX(O2:O27)</f>
        <v>21</v>
      </c>
      <c r="Q28" s="54">
        <v>2.5</v>
      </c>
      <c r="R28" s="54">
        <v>0</v>
      </c>
      <c r="S28" s="54">
        <v>5</v>
      </c>
      <c r="T28" s="54">
        <v>0</v>
      </c>
      <c r="U28" s="54">
        <v>1</v>
      </c>
      <c r="V28" s="38">
        <f t="shared" si="3"/>
        <v>6</v>
      </c>
      <c r="W28" s="68">
        <f t="shared" si="6"/>
        <v>27</v>
      </c>
    </row>
    <row r="29" spans="1:23" x14ac:dyDescent="0.2">
      <c r="A29" s="84" t="s">
        <v>107</v>
      </c>
      <c r="B29" s="85">
        <f>$O$28-B28</f>
        <v>5</v>
      </c>
      <c r="C29" s="85">
        <f>IF(C22&lt;&gt;"",$O$28-C28,"")</f>
        <v>6</v>
      </c>
      <c r="D29" s="85">
        <f>IF(D22&lt;&gt;"",$O$28-D28,"")</f>
        <v>4</v>
      </c>
      <c r="E29" s="85">
        <f t="shared" ref="E29" si="8">$O$28-E28</f>
        <v>5</v>
      </c>
      <c r="F29" s="85">
        <f>V29-F28</f>
        <v>21</v>
      </c>
      <c r="G29" s="31">
        <f>SUM(E29:F29)</f>
        <v>26</v>
      </c>
      <c r="Q29" s="39"/>
      <c r="R29" s="38">
        <f>MAX(R3:R28)</f>
        <v>10</v>
      </c>
      <c r="S29" s="38">
        <f>MAX(S3:S28)</f>
        <v>7</v>
      </c>
      <c r="T29" s="38">
        <f>MAX(T3:T28)</f>
        <v>7</v>
      </c>
      <c r="U29" s="38">
        <f>MAX(U3:U28)</f>
        <v>4</v>
      </c>
      <c r="V29" s="38">
        <f>MAX(V3:V28)</f>
        <v>27</v>
      </c>
      <c r="W29" s="38">
        <f>V29+O28</f>
        <v>48</v>
      </c>
    </row>
    <row r="30" spans="1:23" x14ac:dyDescent="0.2">
      <c r="A30" s="84" t="s">
        <v>204</v>
      </c>
      <c r="B30" s="112">
        <f>B29*10/O28</f>
        <v>2.3809523809523809</v>
      </c>
      <c r="C30" s="112">
        <f>IF(C22&lt;&gt;"",C29*10/O28,"")</f>
        <v>2.8571428571428572</v>
      </c>
      <c r="D30" s="112">
        <f>IF(D22&lt;&gt;"",D29*10/O28,"")</f>
        <v>1.9047619047619047</v>
      </c>
      <c r="E30" s="85">
        <f>E29*10/O28</f>
        <v>2.3809523809523809</v>
      </c>
      <c r="F30" s="85">
        <f>F29*10/V29</f>
        <v>7.7777777777777777</v>
      </c>
      <c r="G30" s="103">
        <f>AVERAGE(E30:F30)</f>
        <v>5.0793650793650791</v>
      </c>
    </row>
    <row r="31" spans="1:23" x14ac:dyDescent="0.2">
      <c r="A31" s="76" t="s">
        <v>108</v>
      </c>
      <c r="B31" s="18">
        <f>B28/O28</f>
        <v>0.76190476190476186</v>
      </c>
      <c r="C31" s="18"/>
      <c r="D31" s="18"/>
      <c r="E31" s="18"/>
      <c r="F31" s="18"/>
      <c r="G31" s="18">
        <f>G28/W29*2</f>
        <v>0.45833333333333331</v>
      </c>
    </row>
    <row r="32" spans="1:23" x14ac:dyDescent="0.2">
      <c r="A32" s="76" t="s">
        <v>109</v>
      </c>
      <c r="B32" s="18"/>
      <c r="C32" s="18"/>
      <c r="D32" s="18"/>
      <c r="E32" s="18">
        <f>E30/10</f>
        <v>0.23809523809523808</v>
      </c>
      <c r="F32" s="18">
        <f>F30/10</f>
        <v>0.77777777777777779</v>
      </c>
      <c r="G32" s="18">
        <f>AVERAGE(E32:F32)</f>
        <v>0.50793650793650791</v>
      </c>
    </row>
    <row r="33" spans="1:11" x14ac:dyDescent="0.2">
      <c r="A33" s="84" t="s">
        <v>34</v>
      </c>
      <c r="E33" s="103">
        <f>(21-E28)/21*10</f>
        <v>2.3809523809523809</v>
      </c>
      <c r="F33" s="103">
        <f>(27-F28)/27*10</f>
        <v>7.7777777777777777</v>
      </c>
      <c r="I33" s="241" t="s">
        <v>488</v>
      </c>
      <c r="J33" s="241">
        <f>MIN(E30,E47)</f>
        <v>2.3809523809523809</v>
      </c>
      <c r="K33" s="241">
        <f>MIN(F30,F47)</f>
        <v>7.7777777777777777</v>
      </c>
    </row>
    <row r="34" spans="1:11" x14ac:dyDescent="0.2">
      <c r="I34" s="241" t="s">
        <v>487</v>
      </c>
      <c r="J34" s="241">
        <f>MAX(E30,E47)</f>
        <v>2.3809523809523809</v>
      </c>
      <c r="K34" s="241">
        <f>MAX(F30,F47)</f>
        <v>7.7777777777777777</v>
      </c>
    </row>
    <row r="35" spans="1:11" x14ac:dyDescent="0.2">
      <c r="I35" s="241" t="s">
        <v>554</v>
      </c>
      <c r="J35" s="241">
        <f>E30-J33</f>
        <v>0</v>
      </c>
      <c r="K35" s="241">
        <f>F30-K33</f>
        <v>0</v>
      </c>
    </row>
    <row r="36" spans="1:11" x14ac:dyDescent="0.2">
      <c r="A36" s="241"/>
      <c r="B36" s="241"/>
      <c r="C36" s="241"/>
      <c r="D36" s="241"/>
      <c r="E36" s="241"/>
      <c r="F36" s="241"/>
      <c r="G36" s="241"/>
      <c r="I36" s="241" t="s">
        <v>555</v>
      </c>
      <c r="J36" s="241">
        <f>J34-E30</f>
        <v>0</v>
      </c>
      <c r="K36" s="241">
        <f>K34-F30</f>
        <v>0</v>
      </c>
    </row>
    <row r="37" spans="1:11" ht="15" x14ac:dyDescent="0.2">
      <c r="A37" s="299"/>
      <c r="B37" s="746" t="s">
        <v>1</v>
      </c>
      <c r="C37" s="746"/>
      <c r="D37" s="746"/>
      <c r="E37" s="746"/>
      <c r="F37" s="746"/>
      <c r="G37" s="241"/>
    </row>
    <row r="38" spans="1:11" ht="15" x14ac:dyDescent="0.2">
      <c r="A38" s="300" t="s">
        <v>5</v>
      </c>
      <c r="B38" s="301" t="s">
        <v>6</v>
      </c>
      <c r="C38" s="301" t="s">
        <v>115</v>
      </c>
      <c r="D38" s="301" t="s">
        <v>116</v>
      </c>
      <c r="E38" s="301" t="s">
        <v>117</v>
      </c>
      <c r="F38" s="302" t="s">
        <v>98</v>
      </c>
      <c r="G38" s="241"/>
    </row>
    <row r="39" spans="1:11" ht="15" x14ac:dyDescent="0.2">
      <c r="A39" s="303" t="s">
        <v>0</v>
      </c>
      <c r="B39" s="304">
        <f>B4+0.5</f>
        <v>12.7</v>
      </c>
      <c r="C39" s="304">
        <f>IF(Eingabe!A13=TRUE,C4+0.5,"")</f>
        <v>6.4999999999999991</v>
      </c>
      <c r="D39" s="304">
        <f>IF(Eingabe!A14=TRUE,D4+0.5,"")</f>
        <v>17.7</v>
      </c>
      <c r="E39" s="304"/>
      <c r="F39" s="305">
        <f>F4*1.015</f>
        <v>10.658182123655912</v>
      </c>
      <c r="G39" s="241"/>
    </row>
    <row r="40" spans="1:11" x14ac:dyDescent="0.2">
      <c r="A40" s="306"/>
      <c r="B40" s="241"/>
      <c r="C40" s="241"/>
      <c r="D40" s="241"/>
      <c r="E40" s="241"/>
      <c r="F40" s="241"/>
      <c r="G40" s="241"/>
    </row>
    <row r="41" spans="1:11" x14ac:dyDescent="0.2">
      <c r="A41" s="307" t="s">
        <v>33</v>
      </c>
      <c r="B41" s="308">
        <f>VLOOKUP($B$4,$J$2:$N$27,2)</f>
        <v>8</v>
      </c>
      <c r="C41" s="308">
        <f>IF(C39&lt;&gt;"",VLOOKUP($C$4,$J$2:$N$27,2),"")</f>
        <v>7</v>
      </c>
      <c r="D41" s="308">
        <f>IF(D39&lt;&gt;"",VLOOKUP($D$4,$J$2:$N$27,2),"")</f>
        <v>9</v>
      </c>
      <c r="E41" s="308"/>
      <c r="F41" s="308">
        <f>VLOOKUP($F$4,$Q$2:$U$28,2)</f>
        <v>0</v>
      </c>
      <c r="G41" s="309">
        <f>AVERAGE(B41:F41)</f>
        <v>6</v>
      </c>
    </row>
    <row r="42" spans="1:11" x14ac:dyDescent="0.2">
      <c r="A42" s="307" t="s">
        <v>35</v>
      </c>
      <c r="B42" s="308">
        <f>VLOOKUP($B$4,$J$2:$N$27,3)</f>
        <v>0</v>
      </c>
      <c r="C42" s="308">
        <f>IF(C39&lt;&gt;"",VLOOKUP($C$4,$J$2:$N$27,3),"")</f>
        <v>0</v>
      </c>
      <c r="D42" s="308">
        <f>IF(D39&lt;&gt;"",VLOOKUP($D$4,$J$2:$N$27,3),"")</f>
        <v>0</v>
      </c>
      <c r="E42" s="308"/>
      <c r="F42" s="308">
        <f>VLOOKUP($F$4,$Q$2:$U$28,3)</f>
        <v>5</v>
      </c>
      <c r="G42" s="309">
        <f>AVERAGE(B42:F42)</f>
        <v>1.25</v>
      </c>
    </row>
    <row r="43" spans="1:11" x14ac:dyDescent="0.2">
      <c r="A43" s="307" t="s">
        <v>36</v>
      </c>
      <c r="B43" s="308">
        <f>VLOOKUP($B$4,$J$2:$N$27,4)</f>
        <v>5</v>
      </c>
      <c r="C43" s="308">
        <f>IF(C39&lt;&gt;"",VLOOKUP($C$4,$J$2:$N$27,4),"")</f>
        <v>5</v>
      </c>
      <c r="D43" s="308">
        <f>IF(D39&lt;&gt;"",VLOOKUP($D$4,$J$2:$N$27,4),"")</f>
        <v>5</v>
      </c>
      <c r="E43" s="308"/>
      <c r="F43" s="308">
        <f>VLOOKUP($F$4,$Q$2:$U$28,4)</f>
        <v>0</v>
      </c>
      <c r="G43" s="309">
        <f>AVERAGE(B43:F43)</f>
        <v>3.75</v>
      </c>
    </row>
    <row r="44" spans="1:11" x14ac:dyDescent="0.2">
      <c r="A44" s="307" t="s">
        <v>38</v>
      </c>
      <c r="B44" s="308">
        <f>VLOOKUP($B$4,$J$2:$N$27,5)</f>
        <v>3</v>
      </c>
      <c r="C44" s="308">
        <f>IF(C39&lt;&gt;"",VLOOKUP($C$4,$J$2:$N$27,5),"")</f>
        <v>3</v>
      </c>
      <c r="D44" s="308">
        <f>IF(D39&lt;&gt;"",VLOOKUP($D$4,$J$2:$N$27,5),"")</f>
        <v>3</v>
      </c>
      <c r="E44" s="308"/>
      <c r="F44" s="308">
        <f>VLOOKUP($F$4,$Q$2:$U$28,5)</f>
        <v>1</v>
      </c>
      <c r="G44" s="309">
        <f>AVERAGE(B44:F44)</f>
        <v>2.5</v>
      </c>
    </row>
    <row r="45" spans="1:11" x14ac:dyDescent="0.2">
      <c r="A45" s="307" t="s">
        <v>39</v>
      </c>
      <c r="B45" s="308">
        <f>SUM(B41:B44)</f>
        <v>16</v>
      </c>
      <c r="C45" s="308">
        <f>IF(C39&lt;&gt;"",SUM(C41:C44),"")</f>
        <v>15</v>
      </c>
      <c r="D45" s="308">
        <f>IF(D39&lt;&gt;"",SUM(D41:D44),"")</f>
        <v>17</v>
      </c>
      <c r="E45" s="308">
        <f>AVERAGE(B45:D45)</f>
        <v>16</v>
      </c>
      <c r="F45" s="308">
        <f>SUM(F41:F44)</f>
        <v>6</v>
      </c>
      <c r="G45" s="309">
        <f>AVERAGE(E45:F45)</f>
        <v>11</v>
      </c>
    </row>
    <row r="46" spans="1:11" x14ac:dyDescent="0.2">
      <c r="A46" s="310" t="s">
        <v>107</v>
      </c>
      <c r="B46" s="172">
        <f>$O$28-B45</f>
        <v>5</v>
      </c>
      <c r="C46" s="172">
        <f>IF(C39&lt;&gt;"",$O$28-C45,"")</f>
        <v>6</v>
      </c>
      <c r="D46" s="172">
        <f>IF(D39&lt;&gt;"",$O$28-D45,"")</f>
        <v>4</v>
      </c>
      <c r="E46" s="172">
        <f t="shared" ref="E46" si="9">$O$28-E45</f>
        <v>5</v>
      </c>
      <c r="F46" s="172">
        <f>V29-F45</f>
        <v>21</v>
      </c>
      <c r="G46" s="309">
        <f>SUM(E46:F46)</f>
        <v>26</v>
      </c>
    </row>
    <row r="47" spans="1:11" x14ac:dyDescent="0.2">
      <c r="A47" s="310" t="s">
        <v>204</v>
      </c>
      <c r="B47" s="311">
        <f>B46*10/O28</f>
        <v>2.3809523809523809</v>
      </c>
      <c r="C47" s="311">
        <f>IF(C39&lt;&gt;"",C46*10/O28,"")</f>
        <v>2.8571428571428572</v>
      </c>
      <c r="D47" s="311">
        <f>IF(D39&lt;&gt;"",D46*10/O28,"")</f>
        <v>1.9047619047619047</v>
      </c>
      <c r="E47" s="172">
        <f>E46*10/O28</f>
        <v>2.3809523809523809</v>
      </c>
      <c r="F47" s="172">
        <f>F46*10/V29</f>
        <v>7.7777777777777777</v>
      </c>
      <c r="G47" s="312">
        <f>AVERAGE(E47:F47)</f>
        <v>5.0793650793650791</v>
      </c>
    </row>
    <row r="48" spans="1:11" x14ac:dyDescent="0.2">
      <c r="A48" s="307" t="s">
        <v>108</v>
      </c>
      <c r="B48" s="313">
        <f>B45/O28</f>
        <v>0.76190476190476186</v>
      </c>
      <c r="C48" s="313"/>
      <c r="D48" s="313"/>
      <c r="E48" s="313"/>
      <c r="F48" s="313"/>
      <c r="G48" s="313">
        <f>G45/W29*2</f>
        <v>0.45833333333333331</v>
      </c>
    </row>
    <row r="49" spans="1:7" x14ac:dyDescent="0.2">
      <c r="A49" s="307" t="s">
        <v>109</v>
      </c>
      <c r="B49" s="313"/>
      <c r="C49" s="313"/>
      <c r="D49" s="313"/>
      <c r="E49" s="313">
        <f>E47/10</f>
        <v>0.23809523809523808</v>
      </c>
      <c r="F49" s="313">
        <f>F47/10</f>
        <v>0.77777777777777779</v>
      </c>
      <c r="G49" s="313">
        <f>AVERAGE(E49:F49)</f>
        <v>0.50793650793650791</v>
      </c>
    </row>
    <row r="50" spans="1:7" x14ac:dyDescent="0.2">
      <c r="A50" s="310" t="s">
        <v>34</v>
      </c>
      <c r="B50" s="241"/>
      <c r="C50" s="241"/>
      <c r="D50" s="241"/>
      <c r="E50" s="312">
        <f>(21-E45)/21*10</f>
        <v>2.3809523809523809</v>
      </c>
      <c r="F50" s="312">
        <f>(27-F45)/27*10</f>
        <v>7.7777777777777777</v>
      </c>
      <c r="G50" s="241"/>
    </row>
  </sheetData>
  <sheetProtection algorithmName="SHA-512" hashValue="GAp9oFkvf6E4etDR8JgU7CO09J0OIio+b+qR5W/6RZ8/3xHK5WBe9kwElAuiXkh0LTP9/XpJIpKSjdO7f7xe+w==" saltValue="LVNO5ioKoJORwSHzuMzaoQ==" spinCount="100000" sheet="1" objects="1" scenarios="1"/>
  <mergeCells count="3">
    <mergeCell ref="B2:F2"/>
    <mergeCell ref="B20:F20"/>
    <mergeCell ref="B37:F37"/>
  </mergeCells>
  <conditionalFormatting sqref="B4:E4">
    <cfRule type="expression" dxfId="7" priority="6">
      <formula>$B$9="Nein"</formula>
    </cfRule>
  </conditionalFormatting>
  <conditionalFormatting sqref="B22:E22">
    <cfRule type="expression" dxfId="6" priority="3">
      <formula>$B$9="Nein"</formula>
    </cfRule>
  </conditionalFormatting>
  <conditionalFormatting sqref="B39:E39">
    <cfRule type="expression" dxfId="5" priority="1">
      <formula>$B$9="Nein"</formula>
    </cfRule>
  </conditionalFormatting>
  <conditionalFormatting sqref="F4">
    <cfRule type="expression" dxfId="4" priority="7">
      <formula>$F$9="Nein"</formula>
    </cfRule>
  </conditionalFormatting>
  <conditionalFormatting sqref="F22">
    <cfRule type="expression" dxfId="3" priority="4">
      <formula>$F$9="Nein"</formula>
    </cfRule>
  </conditionalFormatting>
  <conditionalFormatting sqref="F39">
    <cfRule type="expression" dxfId="2" priority="2">
      <formula>$F$9="Nein"</formula>
    </cfRule>
  </conditionalFormatting>
  <pageMargins left="0.78749999999999998" right="0.78749999999999998" top="1.05277777777778" bottom="1.05277777777778" header="0.78749999999999998" footer="0.78749999999999998"/>
  <pageSetup orientation="portrait" horizontalDpi="300" verticalDpi="300" r:id="rId1"/>
  <headerFooter>
    <oddHeader>&amp;C&amp;"Times New Roman,Regular"&amp;12&amp;A</oddHeader>
    <oddFooter>&amp;C&amp;"Times New Roman,Regular"&amp;12Page &amp;P</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sheetPr>
  <dimension ref="A1:M53"/>
  <sheetViews>
    <sheetView workbookViewId="0">
      <selection activeCell="Q67" sqref="Q67"/>
    </sheetView>
  </sheetViews>
  <sheetFormatPr baseColWidth="10" defaultColWidth="11.5703125" defaultRowHeight="12.75" x14ac:dyDescent="0.2"/>
  <cols>
    <col min="1" max="1" width="22.28515625" style="38" customWidth="1"/>
    <col min="2" max="2" width="17.5703125" style="38" customWidth="1"/>
    <col min="5" max="5" width="14.140625" style="38" customWidth="1"/>
    <col min="6" max="6" width="18" style="38" customWidth="1"/>
    <col min="7" max="7" width="23.42578125" style="38" customWidth="1"/>
    <col min="8" max="8" width="18.42578125" style="38" customWidth="1"/>
    <col min="9" max="9" width="16.140625" style="38" customWidth="1"/>
  </cols>
  <sheetData>
    <row r="1" spans="1:13" ht="20.25" x14ac:dyDescent="0.2">
      <c r="A1" s="60" t="s">
        <v>92</v>
      </c>
      <c r="B1" s="61"/>
      <c r="D1" s="17" t="s">
        <v>6</v>
      </c>
      <c r="E1" s="63" t="s">
        <v>42</v>
      </c>
      <c r="F1" s="64" t="s">
        <v>43</v>
      </c>
      <c r="G1" s="65" t="s">
        <v>44</v>
      </c>
      <c r="H1" s="66" t="s">
        <v>45</v>
      </c>
      <c r="I1" s="77" t="s">
        <v>46</v>
      </c>
      <c r="J1" s="38" t="s">
        <v>97</v>
      </c>
      <c r="L1" s="38" t="s">
        <v>99</v>
      </c>
    </row>
    <row r="2" spans="1:13" ht="15" x14ac:dyDescent="0.2">
      <c r="A2" s="67"/>
      <c r="B2" s="78"/>
      <c r="D2" s="43">
        <v>0</v>
      </c>
      <c r="E2" s="49">
        <v>1</v>
      </c>
      <c r="F2" s="43">
        <v>0</v>
      </c>
      <c r="G2" s="49">
        <v>0</v>
      </c>
      <c r="H2" s="49">
        <v>0</v>
      </c>
      <c r="I2" s="49">
        <v>0</v>
      </c>
      <c r="J2" s="38">
        <f t="shared" ref="J2:J33" si="0">SUM(E2:H2)</f>
        <v>1</v>
      </c>
      <c r="L2" s="38">
        <f>B7</f>
        <v>4</v>
      </c>
      <c r="M2" s="38" t="str">
        <f>A7</f>
        <v>Lepthotrix sp.</v>
      </c>
    </row>
    <row r="3" spans="1:13" ht="15" x14ac:dyDescent="0.2">
      <c r="A3" s="69" t="s">
        <v>5</v>
      </c>
      <c r="B3" s="70" t="s">
        <v>6</v>
      </c>
      <c r="D3" s="49">
        <v>2</v>
      </c>
      <c r="E3" s="49">
        <v>2</v>
      </c>
      <c r="F3" s="49">
        <v>0</v>
      </c>
      <c r="G3" s="49">
        <v>0</v>
      </c>
      <c r="H3" s="49">
        <v>0</v>
      </c>
      <c r="I3" s="49">
        <v>0</v>
      </c>
      <c r="J3" s="38">
        <f t="shared" si="0"/>
        <v>2</v>
      </c>
      <c r="L3" s="38">
        <f>B8</f>
        <v>0</v>
      </c>
      <c r="M3" s="38" t="str">
        <f>A8</f>
        <v>Pseudomonas sp.</v>
      </c>
    </row>
    <row r="4" spans="1:13" ht="15" x14ac:dyDescent="0.2">
      <c r="A4" s="72" t="s">
        <v>0</v>
      </c>
      <c r="B4" s="73">
        <f>Eingabe!D24</f>
        <v>12.2</v>
      </c>
      <c r="D4" s="49">
        <v>4</v>
      </c>
      <c r="E4" s="49">
        <v>3</v>
      </c>
      <c r="F4" s="49">
        <v>0</v>
      </c>
      <c r="G4" s="49">
        <v>0</v>
      </c>
      <c r="H4" s="49">
        <v>0</v>
      </c>
      <c r="I4" s="49">
        <v>0</v>
      </c>
      <c r="J4" s="38">
        <f t="shared" si="0"/>
        <v>3</v>
      </c>
      <c r="L4" s="38">
        <f>B9</f>
        <v>0</v>
      </c>
      <c r="M4" s="38" t="str">
        <f>A9</f>
        <v>Thermoactinomyces sp.</v>
      </c>
    </row>
    <row r="5" spans="1:13" x14ac:dyDescent="0.2">
      <c r="D5" s="49">
        <v>6</v>
      </c>
      <c r="E5" s="49">
        <v>3</v>
      </c>
      <c r="F5" s="49">
        <v>0</v>
      </c>
      <c r="G5" s="49">
        <v>0</v>
      </c>
      <c r="H5" s="49">
        <v>0</v>
      </c>
      <c r="I5" s="49">
        <v>0</v>
      </c>
      <c r="J5" s="38">
        <f t="shared" si="0"/>
        <v>3</v>
      </c>
      <c r="L5" s="38">
        <f>B10</f>
        <v>0</v>
      </c>
      <c r="M5" s="38" t="str">
        <f>A10</f>
        <v>Thermococcus sp.</v>
      </c>
    </row>
    <row r="6" spans="1:13" x14ac:dyDescent="0.2">
      <c r="A6" s="16"/>
      <c r="B6" s="75"/>
      <c r="D6" s="49">
        <v>8</v>
      </c>
      <c r="E6" s="49">
        <v>4</v>
      </c>
      <c r="F6" s="49">
        <v>0</v>
      </c>
      <c r="G6" s="49">
        <v>0</v>
      </c>
      <c r="H6" s="49">
        <v>0</v>
      </c>
      <c r="I6" s="49">
        <v>0</v>
      </c>
      <c r="J6" s="38">
        <f t="shared" si="0"/>
        <v>4</v>
      </c>
      <c r="L6" s="38">
        <f>B11</f>
        <v>0</v>
      </c>
      <c r="M6" s="38" t="str">
        <f>A11</f>
        <v>Pyrodictium sp.</v>
      </c>
    </row>
    <row r="7" spans="1:13" x14ac:dyDescent="0.2">
      <c r="A7" s="63" t="s">
        <v>42</v>
      </c>
      <c r="B7" s="17">
        <f>VLOOKUP($B$4,$D$2:$I$52,2)</f>
        <v>4</v>
      </c>
      <c r="D7" s="49">
        <v>10</v>
      </c>
      <c r="E7" s="49">
        <v>4</v>
      </c>
      <c r="F7" s="49">
        <v>0</v>
      </c>
      <c r="G7" s="49">
        <v>0</v>
      </c>
      <c r="H7" s="49">
        <v>0</v>
      </c>
      <c r="I7" s="49">
        <v>0</v>
      </c>
      <c r="J7" s="38">
        <f t="shared" si="0"/>
        <v>4</v>
      </c>
    </row>
    <row r="8" spans="1:13" x14ac:dyDescent="0.2">
      <c r="A8" s="64" t="s">
        <v>43</v>
      </c>
      <c r="B8" s="17">
        <f>VLOOKUP($B$4,$D$2:$I$52,3)</f>
        <v>0</v>
      </c>
      <c r="D8" s="49">
        <v>12</v>
      </c>
      <c r="E8" s="49">
        <v>4</v>
      </c>
      <c r="F8" s="49">
        <v>0</v>
      </c>
      <c r="G8" s="49">
        <v>0</v>
      </c>
      <c r="H8" s="49">
        <v>0</v>
      </c>
      <c r="I8" s="49">
        <v>0</v>
      </c>
      <c r="J8" s="38">
        <f t="shared" si="0"/>
        <v>4</v>
      </c>
      <c r="L8" s="38">
        <f>MAX(L2:L6)</f>
        <v>4</v>
      </c>
    </row>
    <row r="9" spans="1:13" x14ac:dyDescent="0.2">
      <c r="A9" s="65" t="s">
        <v>44</v>
      </c>
      <c r="B9" s="17">
        <f>VLOOKUP($B$4,$D$2:$I$52,4)</f>
        <v>0</v>
      </c>
      <c r="D9" s="49">
        <v>14</v>
      </c>
      <c r="E9" s="49">
        <v>4</v>
      </c>
      <c r="F9" s="49">
        <v>0</v>
      </c>
      <c r="G9" s="49">
        <v>0</v>
      </c>
      <c r="H9" s="49">
        <v>0</v>
      </c>
      <c r="I9" s="49">
        <v>0</v>
      </c>
      <c r="J9" s="38">
        <f t="shared" si="0"/>
        <v>4</v>
      </c>
    </row>
    <row r="10" spans="1:13" x14ac:dyDescent="0.2">
      <c r="A10" s="66" t="s">
        <v>45</v>
      </c>
      <c r="B10" s="17">
        <f>VLOOKUP($B$4,$D$2:$I$52,5)</f>
        <v>0</v>
      </c>
      <c r="D10" s="49">
        <v>16</v>
      </c>
      <c r="E10" s="49">
        <v>0</v>
      </c>
      <c r="F10" s="49">
        <v>5</v>
      </c>
      <c r="G10" s="49">
        <v>0</v>
      </c>
      <c r="H10" s="49">
        <v>0</v>
      </c>
      <c r="I10" s="49">
        <v>0</v>
      </c>
      <c r="J10" s="38">
        <f t="shared" si="0"/>
        <v>5</v>
      </c>
    </row>
    <row r="11" spans="1:13" x14ac:dyDescent="0.2">
      <c r="A11" s="77" t="s">
        <v>46</v>
      </c>
      <c r="B11" s="17">
        <f>VLOOKUP($B$4,$D$2:$I$52,6)</f>
        <v>0</v>
      </c>
      <c r="D11" s="49">
        <v>18</v>
      </c>
      <c r="E11" s="49">
        <v>0</v>
      </c>
      <c r="F11" s="49">
        <v>7</v>
      </c>
      <c r="G11" s="49">
        <v>0</v>
      </c>
      <c r="H11" s="49">
        <v>0</v>
      </c>
      <c r="I11" s="49">
        <v>0</v>
      </c>
      <c r="J11" s="38">
        <f t="shared" si="0"/>
        <v>7</v>
      </c>
    </row>
    <row r="12" spans="1:13" x14ac:dyDescent="0.2">
      <c r="A12" s="79" t="s">
        <v>40</v>
      </c>
      <c r="B12" s="31">
        <f>SUM(B7:B11)</f>
        <v>4</v>
      </c>
      <c r="D12" s="49">
        <v>20</v>
      </c>
      <c r="E12" s="49">
        <v>0</v>
      </c>
      <c r="F12" s="49">
        <v>8</v>
      </c>
      <c r="G12" s="49">
        <v>0</v>
      </c>
      <c r="H12" s="49">
        <v>0</v>
      </c>
      <c r="I12" s="49">
        <v>0</v>
      </c>
      <c r="J12" s="38">
        <f t="shared" si="0"/>
        <v>8</v>
      </c>
    </row>
    <row r="13" spans="1:13" x14ac:dyDescent="0.2">
      <c r="A13" s="76" t="s">
        <v>37</v>
      </c>
      <c r="B13" s="18">
        <f>B12/J53</f>
        <v>0.4</v>
      </c>
      <c r="D13" s="49">
        <v>22</v>
      </c>
      <c r="E13" s="49">
        <v>0</v>
      </c>
      <c r="F13" s="49">
        <v>9</v>
      </c>
      <c r="G13" s="49">
        <v>0</v>
      </c>
      <c r="H13" s="49">
        <v>0</v>
      </c>
      <c r="I13" s="49">
        <v>0</v>
      </c>
      <c r="J13" s="38">
        <f t="shared" si="0"/>
        <v>9</v>
      </c>
    </row>
    <row r="14" spans="1:13" x14ac:dyDescent="0.2">
      <c r="D14" s="49">
        <v>24</v>
      </c>
      <c r="E14" s="49">
        <v>0</v>
      </c>
      <c r="F14" s="49">
        <v>9</v>
      </c>
      <c r="G14" s="49">
        <v>0</v>
      </c>
      <c r="H14" s="49">
        <v>0</v>
      </c>
      <c r="I14" s="49">
        <v>0</v>
      </c>
      <c r="J14" s="38">
        <f t="shared" si="0"/>
        <v>9</v>
      </c>
    </row>
    <row r="15" spans="1:13" x14ac:dyDescent="0.2">
      <c r="A15" s="31" t="s">
        <v>41</v>
      </c>
      <c r="B15" s="31" t="str">
        <f>VLOOKUP(L8,L2:M6,2,0)</f>
        <v>Lepthotrix sp.</v>
      </c>
      <c r="D15" s="49">
        <v>26</v>
      </c>
      <c r="E15" s="49">
        <v>0</v>
      </c>
      <c r="F15" s="49">
        <v>10</v>
      </c>
      <c r="G15" s="49">
        <v>0</v>
      </c>
      <c r="H15" s="49">
        <v>0</v>
      </c>
      <c r="I15" s="49">
        <v>0</v>
      </c>
      <c r="J15" s="38">
        <f t="shared" si="0"/>
        <v>10</v>
      </c>
    </row>
    <row r="16" spans="1:13" x14ac:dyDescent="0.2">
      <c r="A16" s="31"/>
      <c r="B16" s="38" t="str">
        <f>IF(AND(B4&gt;=-5,B4&lt;5),"Psychrophie",IF(AND(B4&gt;=5,B4&lt;20),"Psychrophile und Psychotolerante",IF(AND(B4&gt;=20,B4&lt;30),"Psychrotolerante und Mesophile",IF(AND(B4&gt;=30,B4&lt;40),"Mesophile",IF(AND(B4&gt;=40,B4&lt;45),"Mesophile und Thermophile",IF(AND(B4&gt;=45,B4&lt;65),"Thermophile",IF(AND(B4&gt;=65,B4&lt;70),"Thermophile und Extrem Thermophile",IF(AND(B4&gt;=70,B4&lt;85),"Extrem Thermophile",IF(AND(B4&gt;=85,B4&lt;90),"Extrem Thermophile und Hyperthermophile",IF(AND(B4&gt;=90,B4&lt;110),"Hyperthermophile","keine Angabe"))))))))))</f>
        <v>Psychrophile und Psychotolerante</v>
      </c>
      <c r="D16" s="49">
        <v>28</v>
      </c>
      <c r="E16" s="49">
        <v>0</v>
      </c>
      <c r="F16" s="49">
        <v>10</v>
      </c>
      <c r="G16" s="49">
        <v>0</v>
      </c>
      <c r="H16" s="49">
        <v>0</v>
      </c>
      <c r="I16" s="49">
        <v>0</v>
      </c>
      <c r="J16" s="38">
        <f t="shared" si="0"/>
        <v>10</v>
      </c>
    </row>
    <row r="17" spans="4:10" x14ac:dyDescent="0.2">
      <c r="D17" s="49">
        <v>30</v>
      </c>
      <c r="E17" s="49">
        <v>0</v>
      </c>
      <c r="F17" s="49">
        <v>8</v>
      </c>
      <c r="G17" s="49">
        <v>0</v>
      </c>
      <c r="H17" s="49">
        <v>0</v>
      </c>
      <c r="I17" s="49">
        <v>0</v>
      </c>
      <c r="J17" s="38">
        <f t="shared" si="0"/>
        <v>8</v>
      </c>
    </row>
    <row r="18" spans="4:10" x14ac:dyDescent="0.2">
      <c r="D18" s="49">
        <v>32</v>
      </c>
      <c r="E18" s="49">
        <v>0</v>
      </c>
      <c r="F18" s="49">
        <v>0</v>
      </c>
      <c r="G18" s="49">
        <v>0</v>
      </c>
      <c r="H18" s="49">
        <v>0</v>
      </c>
      <c r="I18" s="49">
        <v>0</v>
      </c>
      <c r="J18" s="38">
        <f t="shared" si="0"/>
        <v>0</v>
      </c>
    </row>
    <row r="19" spans="4:10" x14ac:dyDescent="0.2">
      <c r="D19" s="49">
        <v>34</v>
      </c>
      <c r="E19" s="49">
        <v>0</v>
      </c>
      <c r="F19" s="49">
        <v>0</v>
      </c>
      <c r="G19" s="49">
        <v>0</v>
      </c>
      <c r="H19" s="49">
        <v>0</v>
      </c>
      <c r="I19" s="49">
        <v>0</v>
      </c>
      <c r="J19" s="38">
        <f t="shared" si="0"/>
        <v>0</v>
      </c>
    </row>
    <row r="20" spans="4:10" x14ac:dyDescent="0.2">
      <c r="D20" s="49">
        <v>36</v>
      </c>
      <c r="E20" s="49">
        <v>0</v>
      </c>
      <c r="F20" s="49">
        <v>0</v>
      </c>
      <c r="G20" s="49">
        <v>0</v>
      </c>
      <c r="H20" s="49">
        <v>0</v>
      </c>
      <c r="I20" s="49">
        <v>0</v>
      </c>
      <c r="J20" s="38">
        <f t="shared" si="0"/>
        <v>0</v>
      </c>
    </row>
    <row r="21" spans="4:10" x14ac:dyDescent="0.2">
      <c r="D21" s="49">
        <v>38</v>
      </c>
      <c r="E21" s="49">
        <v>0</v>
      </c>
      <c r="F21" s="49">
        <v>0</v>
      </c>
      <c r="G21" s="49">
        <v>0</v>
      </c>
      <c r="H21" s="49">
        <v>0</v>
      </c>
      <c r="I21" s="49">
        <v>0</v>
      </c>
      <c r="J21" s="38">
        <f t="shared" si="0"/>
        <v>0</v>
      </c>
    </row>
    <row r="22" spans="4:10" x14ac:dyDescent="0.2">
      <c r="D22" s="49">
        <v>40</v>
      </c>
      <c r="E22" s="49">
        <v>0</v>
      </c>
      <c r="F22" s="49">
        <v>0</v>
      </c>
      <c r="G22" s="49">
        <v>0</v>
      </c>
      <c r="H22" s="49">
        <v>0</v>
      </c>
      <c r="I22" s="49">
        <v>0</v>
      </c>
      <c r="J22" s="38">
        <f t="shared" si="0"/>
        <v>0</v>
      </c>
    </row>
    <row r="23" spans="4:10" x14ac:dyDescent="0.2">
      <c r="D23" s="49">
        <v>42</v>
      </c>
      <c r="E23" s="49">
        <v>0</v>
      </c>
      <c r="F23" s="49">
        <v>0</v>
      </c>
      <c r="G23" s="49">
        <v>0</v>
      </c>
      <c r="H23" s="49">
        <v>0</v>
      </c>
      <c r="I23" s="49">
        <v>0</v>
      </c>
      <c r="J23" s="38">
        <f t="shared" si="0"/>
        <v>0</v>
      </c>
    </row>
    <row r="24" spans="4:10" x14ac:dyDescent="0.2">
      <c r="D24" s="49">
        <v>44</v>
      </c>
      <c r="E24" s="49">
        <v>0</v>
      </c>
      <c r="F24" s="49">
        <v>0</v>
      </c>
      <c r="G24" s="49">
        <v>4</v>
      </c>
      <c r="H24" s="49">
        <v>0</v>
      </c>
      <c r="I24" s="49">
        <v>0</v>
      </c>
      <c r="J24" s="38">
        <f t="shared" si="0"/>
        <v>4</v>
      </c>
    </row>
    <row r="25" spans="4:10" x14ac:dyDescent="0.2">
      <c r="D25" s="49">
        <v>46</v>
      </c>
      <c r="E25" s="49">
        <v>0</v>
      </c>
      <c r="F25" s="49">
        <v>0</v>
      </c>
      <c r="G25" s="49">
        <v>4</v>
      </c>
      <c r="H25" s="49">
        <v>0</v>
      </c>
      <c r="I25" s="49">
        <v>0</v>
      </c>
      <c r="J25" s="38">
        <f t="shared" si="0"/>
        <v>4</v>
      </c>
    </row>
    <row r="26" spans="4:10" x14ac:dyDescent="0.2">
      <c r="D26" s="49">
        <v>48</v>
      </c>
      <c r="E26" s="49">
        <v>0</v>
      </c>
      <c r="F26" s="49">
        <v>0</v>
      </c>
      <c r="G26" s="49">
        <v>5</v>
      </c>
      <c r="H26" s="49">
        <v>0</v>
      </c>
      <c r="I26" s="49">
        <v>0</v>
      </c>
      <c r="J26" s="38">
        <f t="shared" si="0"/>
        <v>5</v>
      </c>
    </row>
    <row r="27" spans="4:10" x14ac:dyDescent="0.2">
      <c r="D27" s="49">
        <v>50</v>
      </c>
      <c r="E27" s="49">
        <v>0</v>
      </c>
      <c r="F27" s="49">
        <v>0</v>
      </c>
      <c r="G27" s="49">
        <v>6</v>
      </c>
      <c r="H27" s="49">
        <v>0</v>
      </c>
      <c r="I27" s="49">
        <v>0</v>
      </c>
      <c r="J27" s="38">
        <f t="shared" si="0"/>
        <v>6</v>
      </c>
    </row>
    <row r="28" spans="4:10" x14ac:dyDescent="0.2">
      <c r="D28" s="49">
        <v>52</v>
      </c>
      <c r="E28" s="49">
        <v>0</v>
      </c>
      <c r="F28" s="49">
        <v>0</v>
      </c>
      <c r="G28" s="49">
        <v>6</v>
      </c>
      <c r="H28" s="49">
        <v>0</v>
      </c>
      <c r="I28" s="49">
        <v>0</v>
      </c>
      <c r="J28" s="38">
        <f t="shared" si="0"/>
        <v>6</v>
      </c>
    </row>
    <row r="29" spans="4:10" x14ac:dyDescent="0.2">
      <c r="D29" s="49">
        <v>54</v>
      </c>
      <c r="E29" s="49">
        <v>0</v>
      </c>
      <c r="F29" s="49">
        <v>0</v>
      </c>
      <c r="G29" s="49">
        <v>7</v>
      </c>
      <c r="H29" s="49">
        <v>0</v>
      </c>
      <c r="I29" s="49">
        <v>0</v>
      </c>
      <c r="J29" s="38">
        <f t="shared" si="0"/>
        <v>7</v>
      </c>
    </row>
    <row r="30" spans="4:10" x14ac:dyDescent="0.2">
      <c r="D30" s="49">
        <v>56</v>
      </c>
      <c r="E30" s="49">
        <v>0</v>
      </c>
      <c r="F30" s="49">
        <v>0</v>
      </c>
      <c r="G30" s="49">
        <v>7</v>
      </c>
      <c r="H30" s="49">
        <v>0</v>
      </c>
      <c r="I30" s="49">
        <v>0</v>
      </c>
      <c r="J30" s="38">
        <f t="shared" si="0"/>
        <v>7</v>
      </c>
    </row>
    <row r="31" spans="4:10" x14ac:dyDescent="0.2">
      <c r="D31" s="49">
        <v>58</v>
      </c>
      <c r="E31" s="49">
        <v>0</v>
      </c>
      <c r="F31" s="49">
        <v>0</v>
      </c>
      <c r="G31" s="49">
        <v>7</v>
      </c>
      <c r="H31" s="49">
        <v>0</v>
      </c>
      <c r="I31" s="49">
        <v>0</v>
      </c>
      <c r="J31" s="38">
        <f t="shared" si="0"/>
        <v>7</v>
      </c>
    </row>
    <row r="32" spans="4:10" x14ac:dyDescent="0.2">
      <c r="D32" s="49">
        <v>60</v>
      </c>
      <c r="E32" s="49">
        <v>0</v>
      </c>
      <c r="F32" s="49">
        <v>0</v>
      </c>
      <c r="G32" s="49">
        <v>4</v>
      </c>
      <c r="H32" s="49">
        <v>0</v>
      </c>
      <c r="I32" s="49">
        <v>0</v>
      </c>
      <c r="J32" s="38">
        <f t="shared" si="0"/>
        <v>4</v>
      </c>
    </row>
    <row r="33" spans="4:10" x14ac:dyDescent="0.2">
      <c r="D33" s="49">
        <v>62</v>
      </c>
      <c r="E33" s="49">
        <v>0</v>
      </c>
      <c r="F33" s="49">
        <v>0</v>
      </c>
      <c r="G33" s="49">
        <v>0</v>
      </c>
      <c r="H33" s="49">
        <v>0</v>
      </c>
      <c r="I33" s="49">
        <v>0</v>
      </c>
      <c r="J33" s="38">
        <f t="shared" si="0"/>
        <v>0</v>
      </c>
    </row>
    <row r="34" spans="4:10" x14ac:dyDescent="0.2">
      <c r="D34" s="49">
        <v>64</v>
      </c>
      <c r="E34" s="49">
        <v>0</v>
      </c>
      <c r="F34" s="49">
        <v>0</v>
      </c>
      <c r="G34" s="49">
        <v>0</v>
      </c>
      <c r="H34" s="49">
        <v>0</v>
      </c>
      <c r="I34" s="49">
        <v>0</v>
      </c>
      <c r="J34" s="38">
        <f t="shared" ref="J34:J52" si="1">SUM(E34:H34)</f>
        <v>0</v>
      </c>
    </row>
    <row r="35" spans="4:10" x14ac:dyDescent="0.2">
      <c r="D35" s="49">
        <v>66</v>
      </c>
      <c r="E35" s="49">
        <v>0</v>
      </c>
      <c r="F35" s="49">
        <v>0</v>
      </c>
      <c r="G35" s="49">
        <v>0</v>
      </c>
      <c r="H35" s="49">
        <v>0</v>
      </c>
      <c r="I35" s="49">
        <v>0</v>
      </c>
      <c r="J35" s="38">
        <f t="shared" si="1"/>
        <v>0</v>
      </c>
    </row>
    <row r="36" spans="4:10" x14ac:dyDescent="0.2">
      <c r="D36" s="49">
        <v>68</v>
      </c>
      <c r="E36" s="49">
        <v>0</v>
      </c>
      <c r="F36" s="49">
        <v>0</v>
      </c>
      <c r="G36" s="49">
        <v>0</v>
      </c>
      <c r="H36" s="49">
        <v>0</v>
      </c>
      <c r="I36" s="49">
        <v>0</v>
      </c>
      <c r="J36" s="38">
        <f t="shared" si="1"/>
        <v>0</v>
      </c>
    </row>
    <row r="37" spans="4:10" x14ac:dyDescent="0.2">
      <c r="D37" s="49">
        <v>70</v>
      </c>
      <c r="E37" s="49">
        <v>0</v>
      </c>
      <c r="F37" s="49">
        <v>0</v>
      </c>
      <c r="G37" s="49">
        <v>0</v>
      </c>
      <c r="H37" s="49">
        <v>0</v>
      </c>
      <c r="I37" s="49">
        <v>0</v>
      </c>
      <c r="J37" s="38">
        <f t="shared" si="1"/>
        <v>0</v>
      </c>
    </row>
    <row r="38" spans="4:10" x14ac:dyDescent="0.2">
      <c r="D38" s="49">
        <v>72</v>
      </c>
      <c r="E38" s="49">
        <v>0</v>
      </c>
      <c r="F38" s="49">
        <v>0</v>
      </c>
      <c r="G38" s="49">
        <v>0</v>
      </c>
      <c r="H38" s="49">
        <v>0</v>
      </c>
      <c r="I38" s="49">
        <v>0</v>
      </c>
      <c r="J38" s="38">
        <f t="shared" si="1"/>
        <v>0</v>
      </c>
    </row>
    <row r="39" spans="4:10" x14ac:dyDescent="0.2">
      <c r="D39" s="49">
        <v>74</v>
      </c>
      <c r="E39" s="49">
        <v>0</v>
      </c>
      <c r="F39" s="49">
        <v>0</v>
      </c>
      <c r="G39" s="49">
        <v>0</v>
      </c>
      <c r="H39" s="49">
        <v>4</v>
      </c>
      <c r="I39" s="49">
        <v>0</v>
      </c>
      <c r="J39" s="38">
        <f t="shared" si="1"/>
        <v>4</v>
      </c>
    </row>
    <row r="40" spans="4:10" x14ac:dyDescent="0.2">
      <c r="D40" s="49">
        <v>76</v>
      </c>
      <c r="E40" s="49">
        <v>0</v>
      </c>
      <c r="F40" s="49">
        <v>0</v>
      </c>
      <c r="G40" s="49">
        <v>0</v>
      </c>
      <c r="H40" s="49">
        <v>6</v>
      </c>
      <c r="I40" s="49">
        <v>0</v>
      </c>
      <c r="J40" s="38">
        <f t="shared" si="1"/>
        <v>6</v>
      </c>
    </row>
    <row r="41" spans="4:10" x14ac:dyDescent="0.2">
      <c r="D41" s="49">
        <v>78</v>
      </c>
      <c r="E41" s="49">
        <v>0</v>
      </c>
      <c r="F41" s="49">
        <v>0</v>
      </c>
      <c r="G41" s="49">
        <v>0</v>
      </c>
      <c r="H41" s="49">
        <v>7</v>
      </c>
      <c r="I41" s="49">
        <v>0</v>
      </c>
      <c r="J41" s="38">
        <f t="shared" si="1"/>
        <v>7</v>
      </c>
    </row>
    <row r="42" spans="4:10" x14ac:dyDescent="0.2">
      <c r="D42" s="49">
        <v>80</v>
      </c>
      <c r="E42" s="49">
        <v>0</v>
      </c>
      <c r="F42" s="49">
        <v>0</v>
      </c>
      <c r="G42" s="49">
        <v>0</v>
      </c>
      <c r="H42" s="49">
        <v>7</v>
      </c>
      <c r="I42" s="49">
        <v>0</v>
      </c>
      <c r="J42" s="38">
        <f t="shared" si="1"/>
        <v>7</v>
      </c>
    </row>
    <row r="43" spans="4:10" x14ac:dyDescent="0.2">
      <c r="D43" s="49">
        <v>82</v>
      </c>
      <c r="E43" s="49">
        <v>0</v>
      </c>
      <c r="F43" s="49">
        <v>0</v>
      </c>
      <c r="G43" s="49">
        <v>0</v>
      </c>
      <c r="H43" s="49">
        <v>0</v>
      </c>
      <c r="I43" s="49">
        <v>0</v>
      </c>
      <c r="J43" s="38">
        <f t="shared" si="1"/>
        <v>0</v>
      </c>
    </row>
    <row r="44" spans="4:10" x14ac:dyDescent="0.2">
      <c r="D44" s="49">
        <v>84</v>
      </c>
      <c r="E44" s="49">
        <v>0</v>
      </c>
      <c r="F44" s="49">
        <v>0</v>
      </c>
      <c r="G44" s="49">
        <v>0</v>
      </c>
      <c r="H44" s="49">
        <v>0</v>
      </c>
      <c r="I44" s="49">
        <v>0</v>
      </c>
      <c r="J44" s="38">
        <f t="shared" si="1"/>
        <v>0</v>
      </c>
    </row>
    <row r="45" spans="4:10" x14ac:dyDescent="0.2">
      <c r="D45" s="49">
        <v>86</v>
      </c>
      <c r="E45" s="49">
        <v>0</v>
      </c>
      <c r="F45" s="49">
        <v>0</v>
      </c>
      <c r="G45" s="49">
        <v>0</v>
      </c>
      <c r="H45" s="49">
        <v>0</v>
      </c>
      <c r="I45" s="49">
        <v>0</v>
      </c>
      <c r="J45" s="38">
        <f t="shared" si="1"/>
        <v>0</v>
      </c>
    </row>
    <row r="46" spans="4:10" x14ac:dyDescent="0.2">
      <c r="D46" s="49">
        <v>88</v>
      </c>
      <c r="E46" s="49">
        <v>0</v>
      </c>
      <c r="F46" s="49">
        <v>0</v>
      </c>
      <c r="G46" s="49">
        <v>0</v>
      </c>
      <c r="H46" s="49">
        <v>0</v>
      </c>
      <c r="I46" s="49">
        <v>0</v>
      </c>
      <c r="J46" s="38">
        <f t="shared" si="1"/>
        <v>0</v>
      </c>
    </row>
    <row r="47" spans="4:10" x14ac:dyDescent="0.2">
      <c r="D47" s="49">
        <v>90</v>
      </c>
      <c r="E47" s="49">
        <v>0</v>
      </c>
      <c r="F47" s="49">
        <v>0</v>
      </c>
      <c r="G47" s="49">
        <v>0</v>
      </c>
      <c r="H47" s="49">
        <v>0</v>
      </c>
      <c r="I47" s="49">
        <v>2</v>
      </c>
      <c r="J47" s="38">
        <f t="shared" si="1"/>
        <v>0</v>
      </c>
    </row>
    <row r="48" spans="4:10" x14ac:dyDescent="0.2">
      <c r="D48" s="49">
        <v>92</v>
      </c>
      <c r="E48" s="49">
        <v>0</v>
      </c>
      <c r="F48" s="49">
        <v>0</v>
      </c>
      <c r="G48" s="49">
        <v>0</v>
      </c>
      <c r="H48" s="49">
        <v>0</v>
      </c>
      <c r="I48" s="49">
        <v>3</v>
      </c>
      <c r="J48" s="38">
        <f t="shared" si="1"/>
        <v>0</v>
      </c>
    </row>
    <row r="49" spans="4:10" x14ac:dyDescent="0.2">
      <c r="D49" s="49">
        <v>94</v>
      </c>
      <c r="E49" s="49">
        <v>0</v>
      </c>
      <c r="F49" s="49">
        <v>0</v>
      </c>
      <c r="G49" s="49">
        <v>0</v>
      </c>
      <c r="H49" s="49">
        <v>0</v>
      </c>
      <c r="I49" s="49">
        <v>3</v>
      </c>
      <c r="J49" s="38">
        <f t="shared" si="1"/>
        <v>0</v>
      </c>
    </row>
    <row r="50" spans="4:10" x14ac:dyDescent="0.2">
      <c r="D50" s="49">
        <v>96</v>
      </c>
      <c r="E50" s="49">
        <v>0</v>
      </c>
      <c r="F50" s="49">
        <v>0</v>
      </c>
      <c r="G50" s="49">
        <v>0</v>
      </c>
      <c r="H50" s="49">
        <v>0</v>
      </c>
      <c r="I50" s="49">
        <v>3</v>
      </c>
      <c r="J50" s="38">
        <f t="shared" si="1"/>
        <v>0</v>
      </c>
    </row>
    <row r="51" spans="4:10" x14ac:dyDescent="0.2">
      <c r="D51" s="49">
        <v>98</v>
      </c>
      <c r="E51" s="49">
        <v>0</v>
      </c>
      <c r="F51" s="49">
        <v>0</v>
      </c>
      <c r="G51" s="49">
        <v>0</v>
      </c>
      <c r="H51" s="49">
        <v>0</v>
      </c>
      <c r="I51" s="49">
        <v>4</v>
      </c>
      <c r="J51" s="38">
        <f t="shared" si="1"/>
        <v>0</v>
      </c>
    </row>
    <row r="52" spans="4:10" x14ac:dyDescent="0.2">
      <c r="D52" s="49">
        <v>100</v>
      </c>
      <c r="E52" s="49">
        <v>0</v>
      </c>
      <c r="F52" s="49">
        <v>0</v>
      </c>
      <c r="G52" s="49">
        <v>0</v>
      </c>
      <c r="H52" s="49">
        <v>0</v>
      </c>
      <c r="I52" s="49">
        <v>0</v>
      </c>
      <c r="J52" s="38">
        <f t="shared" si="1"/>
        <v>0</v>
      </c>
    </row>
    <row r="53" spans="4:10" x14ac:dyDescent="0.2">
      <c r="J53" s="38">
        <f>MAX(J2:J52)</f>
        <v>10</v>
      </c>
    </row>
  </sheetData>
  <sheetProtection algorithmName="SHA-512" hashValue="ymKn03GJ/b3rHLOOT1xrAe7R3pGbzJ3A3DV/dTTqTCldhJe0F/dheqwmN+pKWJHKOFGc9opQf16vPlr8xiQT3A==" saltValue="LjIGUxy8oWi3Nu0ylZRY/Q==" spinCount="100000" sheet="1" objects="1" scenarios="1"/>
  <conditionalFormatting sqref="B4">
    <cfRule type="expression" dxfId="1" priority="2">
      <formula>$B$10="Nein"</formula>
    </cfRule>
  </conditionalFormatting>
  <pageMargins left="0.78749999999999998" right="0.78749999999999998" top="1.0249999999999999" bottom="1.0249999999999999" header="0.78749999999999998" footer="0.78749999999999998"/>
  <pageSetup orientation="portrait" useFirstPageNumber="1" horizontalDpi="300" verticalDpi="300"/>
  <headerFooter>
    <oddHeader>&amp;C&amp;A</oddHeader>
    <oddFooter>&amp;CPage &amp;P</oddFooter>
  </headerFooter>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1:K18"/>
  <sheetViews>
    <sheetView zoomScale="55" zoomScaleNormal="55" workbookViewId="0">
      <selection activeCell="Q67" sqref="Q67"/>
    </sheetView>
  </sheetViews>
  <sheetFormatPr baseColWidth="10" defaultColWidth="11.5703125" defaultRowHeight="12.75" x14ac:dyDescent="0.2"/>
  <cols>
    <col min="1" max="1" width="26.5703125" style="38" customWidth="1"/>
    <col min="2" max="2" width="24.5703125" style="38" customWidth="1"/>
    <col min="5" max="5" width="13.5703125" style="38" customWidth="1"/>
    <col min="6" max="6" width="17.140625" style="38" customWidth="1"/>
    <col min="7" max="7" width="22.28515625" style="38" customWidth="1"/>
  </cols>
  <sheetData>
    <row r="1" spans="1:11" ht="20.25" x14ac:dyDescent="0.2">
      <c r="A1" s="60" t="s">
        <v>92</v>
      </c>
      <c r="B1" s="61"/>
      <c r="D1" s="17" t="s">
        <v>6</v>
      </c>
      <c r="E1" s="63" t="s">
        <v>100</v>
      </c>
      <c r="F1" s="64" t="s">
        <v>101</v>
      </c>
      <c r="G1" s="65" t="s">
        <v>102</v>
      </c>
      <c r="H1" s="38" t="s">
        <v>97</v>
      </c>
      <c r="J1" s="38" t="s">
        <v>99</v>
      </c>
    </row>
    <row r="2" spans="1:11" ht="15" x14ac:dyDescent="0.2">
      <c r="A2" s="67"/>
      <c r="B2" s="78"/>
      <c r="D2" s="43">
        <v>0</v>
      </c>
      <c r="E2" s="49">
        <v>0</v>
      </c>
      <c r="F2" s="43">
        <v>0</v>
      </c>
      <c r="G2" s="49">
        <v>0</v>
      </c>
      <c r="H2" s="38">
        <f t="shared" ref="H2:H17" si="0">SUM(E2:G2)</f>
        <v>0</v>
      </c>
      <c r="J2" s="38">
        <f>B7</f>
        <v>10</v>
      </c>
      <c r="K2" s="38" t="str">
        <f>A7</f>
        <v>eurytherme Oberflächenart</v>
      </c>
    </row>
    <row r="3" spans="1:11" ht="15" x14ac:dyDescent="0.2">
      <c r="A3" s="69" t="s">
        <v>5</v>
      </c>
      <c r="B3" s="70" t="s">
        <v>6</v>
      </c>
      <c r="D3" s="49">
        <v>2</v>
      </c>
      <c r="E3" s="49">
        <v>0</v>
      </c>
      <c r="F3" s="49">
        <v>0</v>
      </c>
      <c r="G3" s="49">
        <v>0</v>
      </c>
      <c r="H3" s="38">
        <f t="shared" si="0"/>
        <v>0</v>
      </c>
      <c r="J3" s="38">
        <f>B8</f>
        <v>6</v>
      </c>
      <c r="K3" s="38" t="str">
        <f>A8</f>
        <v>eurytherme Grundwasserart</v>
      </c>
    </row>
    <row r="4" spans="1:11" ht="15" x14ac:dyDescent="0.2">
      <c r="A4" s="72" t="s">
        <v>0</v>
      </c>
      <c r="B4" s="73">
        <f>Eingabe!D24</f>
        <v>12.2</v>
      </c>
      <c r="D4" s="49">
        <v>4</v>
      </c>
      <c r="E4" s="49">
        <v>3</v>
      </c>
      <c r="F4" s="49">
        <v>2</v>
      </c>
      <c r="G4" s="49">
        <v>2</v>
      </c>
      <c r="H4" s="38">
        <f t="shared" si="0"/>
        <v>7</v>
      </c>
      <c r="J4" s="38">
        <f>B9</f>
        <v>6</v>
      </c>
      <c r="K4" s="38" t="str">
        <f>A9</f>
        <v>stenotherme Grundwasserart</v>
      </c>
    </row>
    <row r="5" spans="1:11" x14ac:dyDescent="0.2">
      <c r="D5" s="49">
        <v>6</v>
      </c>
      <c r="E5" s="49">
        <v>6</v>
      </c>
      <c r="F5" s="49">
        <v>5</v>
      </c>
      <c r="G5" s="49">
        <v>5</v>
      </c>
      <c r="H5" s="38">
        <f t="shared" si="0"/>
        <v>16</v>
      </c>
    </row>
    <row r="6" spans="1:11" x14ac:dyDescent="0.2">
      <c r="A6" s="16"/>
      <c r="B6" s="75"/>
      <c r="D6" s="49">
        <v>8</v>
      </c>
      <c r="E6" s="49">
        <v>8</v>
      </c>
      <c r="F6" s="49">
        <v>6</v>
      </c>
      <c r="G6" s="49">
        <v>5</v>
      </c>
      <c r="H6" s="38">
        <f t="shared" si="0"/>
        <v>19</v>
      </c>
      <c r="J6" s="38">
        <f>MAX(J2:J4)</f>
        <v>10</v>
      </c>
    </row>
    <row r="7" spans="1:11" x14ac:dyDescent="0.2">
      <c r="A7" s="63" t="s">
        <v>48</v>
      </c>
      <c r="B7" s="17">
        <f>VLOOKUP($B$4,$D$2:$G$50,2)</f>
        <v>10</v>
      </c>
      <c r="D7" s="49">
        <v>10</v>
      </c>
      <c r="E7" s="49">
        <v>9</v>
      </c>
      <c r="F7" s="49">
        <v>6</v>
      </c>
      <c r="G7" s="49">
        <v>6</v>
      </c>
      <c r="H7" s="38">
        <f t="shared" si="0"/>
        <v>21</v>
      </c>
    </row>
    <row r="8" spans="1:11" x14ac:dyDescent="0.2">
      <c r="A8" s="64" t="s">
        <v>49</v>
      </c>
      <c r="B8" s="17">
        <f>VLOOKUP($B$4,$D$2:$G$50,3)</f>
        <v>6</v>
      </c>
      <c r="D8" s="49">
        <v>12</v>
      </c>
      <c r="E8" s="49">
        <v>10</v>
      </c>
      <c r="F8" s="49">
        <v>6</v>
      </c>
      <c r="G8" s="49">
        <v>6</v>
      </c>
      <c r="H8" s="38">
        <f t="shared" si="0"/>
        <v>22</v>
      </c>
    </row>
    <row r="9" spans="1:11" x14ac:dyDescent="0.2">
      <c r="A9" s="65" t="s">
        <v>50</v>
      </c>
      <c r="B9" s="17">
        <f>VLOOKUP($B$4,$D$2:$G$50,4)</f>
        <v>6</v>
      </c>
      <c r="D9" s="49">
        <v>14</v>
      </c>
      <c r="E9" s="49">
        <v>10</v>
      </c>
      <c r="F9" s="49">
        <v>7</v>
      </c>
      <c r="G9" s="49">
        <v>6</v>
      </c>
      <c r="H9" s="38">
        <f t="shared" si="0"/>
        <v>23</v>
      </c>
    </row>
    <row r="10" spans="1:11" x14ac:dyDescent="0.2">
      <c r="A10" s="79" t="s">
        <v>40</v>
      </c>
      <c r="B10" s="31">
        <f>SUM(B7:B9)</f>
        <v>22</v>
      </c>
      <c r="D10" s="49">
        <v>16</v>
      </c>
      <c r="E10" s="49">
        <v>10</v>
      </c>
      <c r="F10" s="49">
        <v>7</v>
      </c>
      <c r="G10" s="49">
        <v>6</v>
      </c>
      <c r="H10" s="38">
        <f t="shared" si="0"/>
        <v>23</v>
      </c>
    </row>
    <row r="11" spans="1:11" x14ac:dyDescent="0.2">
      <c r="A11" s="76" t="s">
        <v>37</v>
      </c>
      <c r="B11" s="18">
        <f>B10/H18</f>
        <v>0.95652173913043481</v>
      </c>
      <c r="D11" s="49">
        <v>18</v>
      </c>
      <c r="E11" s="49">
        <v>10</v>
      </c>
      <c r="F11" s="49">
        <v>7</v>
      </c>
      <c r="G11" s="49">
        <v>6</v>
      </c>
      <c r="H11" s="38">
        <f t="shared" si="0"/>
        <v>23</v>
      </c>
    </row>
    <row r="12" spans="1:11" x14ac:dyDescent="0.2">
      <c r="D12" s="49">
        <v>20</v>
      </c>
      <c r="E12" s="49">
        <v>10</v>
      </c>
      <c r="F12" s="49">
        <v>7</v>
      </c>
      <c r="G12" s="49">
        <v>5</v>
      </c>
      <c r="H12" s="38">
        <f t="shared" si="0"/>
        <v>22</v>
      </c>
    </row>
    <row r="13" spans="1:11" x14ac:dyDescent="0.2">
      <c r="A13" s="79" t="s">
        <v>47</v>
      </c>
      <c r="B13" s="79" t="str">
        <f>VLOOKUP(J6,J2:K6,2,0)</f>
        <v>eurytherme Oberflächenart</v>
      </c>
      <c r="D13" s="49">
        <v>22</v>
      </c>
      <c r="E13" s="49">
        <v>10</v>
      </c>
      <c r="F13" s="49">
        <v>7</v>
      </c>
      <c r="G13" s="49">
        <v>0</v>
      </c>
      <c r="H13" s="38">
        <f t="shared" si="0"/>
        <v>17</v>
      </c>
    </row>
    <row r="14" spans="1:11" x14ac:dyDescent="0.2">
      <c r="D14" s="49">
        <v>24</v>
      </c>
      <c r="E14" s="49">
        <v>9</v>
      </c>
      <c r="F14" s="49">
        <v>6</v>
      </c>
      <c r="G14" s="49">
        <v>0</v>
      </c>
      <c r="H14" s="38">
        <f t="shared" si="0"/>
        <v>15</v>
      </c>
    </row>
    <row r="15" spans="1:11" x14ac:dyDescent="0.2">
      <c r="D15" s="49">
        <v>26</v>
      </c>
      <c r="E15" s="49">
        <v>8</v>
      </c>
      <c r="F15" s="49">
        <v>5</v>
      </c>
      <c r="G15" s="49">
        <v>0</v>
      </c>
      <c r="H15" s="38">
        <f t="shared" si="0"/>
        <v>13</v>
      </c>
    </row>
    <row r="16" spans="1:11" x14ac:dyDescent="0.2">
      <c r="D16" s="49">
        <v>28</v>
      </c>
      <c r="E16" s="49">
        <v>4</v>
      </c>
      <c r="F16" s="49">
        <v>0</v>
      </c>
      <c r="G16" s="49">
        <v>0</v>
      </c>
      <c r="H16" s="38">
        <f t="shared" si="0"/>
        <v>4</v>
      </c>
    </row>
    <row r="17" spans="4:8" x14ac:dyDescent="0.2">
      <c r="D17" s="54">
        <v>30</v>
      </c>
      <c r="E17" s="54">
        <v>0</v>
      </c>
      <c r="F17" s="54">
        <v>0</v>
      </c>
      <c r="G17" s="54">
        <v>0</v>
      </c>
      <c r="H17" s="38">
        <f t="shared" si="0"/>
        <v>0</v>
      </c>
    </row>
    <row r="18" spans="4:8" x14ac:dyDescent="0.2">
      <c r="D18" s="75"/>
      <c r="E18" s="75"/>
      <c r="F18" s="75"/>
      <c r="G18" s="75"/>
      <c r="H18" s="38">
        <f>MAX(H2:H17)</f>
        <v>23</v>
      </c>
    </row>
  </sheetData>
  <sheetProtection algorithmName="SHA-512" hashValue="D5pi0IHsPtBzZu5rtd3BUo2tSCYZIwZ4sfUKUXQwSDBY5U2Fcpnq7GjcWAUDz2UlnsmMGK4l4R2hTkoRErtYSg==" saltValue="GCAhcEip+nLYyVo7S0Ykbw==" spinCount="100000" sheet="1" objects="1" scenarios="1"/>
  <conditionalFormatting sqref="B4">
    <cfRule type="expression" dxfId="0" priority="2">
      <formula>$B$10="Nein"</formula>
    </cfRule>
  </conditionalFormatting>
  <pageMargins left="0.78749999999999998" right="0.78749999999999998" top="1.0249999999999999" bottom="1.0249999999999999" header="0.78749999999999998" footer="0.78749999999999998"/>
  <pageSetup orientation="portrait" horizontalDpi="300" verticalDpi="300"/>
  <headerFooter>
    <oddHeader>&amp;C&amp;A</oddHeader>
    <oddFooter>&amp;CPage &amp;P</oddFooter>
  </headerFooter>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D4CF9E4-A949-469E-B91D-0C98F32767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Info</vt:lpstr>
      <vt:lpstr>Eingabe</vt:lpstr>
      <vt:lpstr>Ausgabe Standortbewertung</vt:lpstr>
      <vt:lpstr>Ausgabe Wärmeübertragerdesign</vt:lpstr>
      <vt:lpstr>Wichtungsberechnung</vt:lpstr>
      <vt:lpstr>Beispielskript Modellierung</vt:lpstr>
      <vt:lpstr>Punkteberechnung</vt:lpstr>
      <vt:lpstr>Berechnung-WÜ-Material</vt:lpstr>
      <vt:lpstr>Daten-Materialien</vt:lpstr>
      <vt:lpstr>Waermeuebertrager</vt:lpstr>
      <vt:lpstr>Löslichkeitstabelle-Wasser-I</vt:lpstr>
      <vt:lpstr>Zwischenrechnungen</vt:lpstr>
      <vt:lpstr>Wärmeübertrager</vt:lpstr>
      <vt:lpstr>Stoffwerte</vt:lpstr>
      <vt:lpstr>Strömung-Temp-Fouling</vt:lpstr>
      <vt:lpstr>Bakterien</vt:lpstr>
      <vt:lpstr>Fauna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Prädiktives Grubenwassertool</dc:title>
  <dc:subject/>
  <dc:creator>Lukas Oppelt</dc:creator>
  <dc:description/>
  <cp:lastModifiedBy>Lukas.Oppelt</cp:lastModifiedBy>
  <cp:revision>253</cp:revision>
  <cp:lastPrinted>2024-12-30T09:02:11Z</cp:lastPrinted>
  <dcterms:created xsi:type="dcterms:W3CDTF">2022-05-12T09:51:23Z</dcterms:created>
  <dcterms:modified xsi:type="dcterms:W3CDTF">2026-07-08T14:08:36Z</dcterms:modified>
  <dc:language>en-US</dc:language>
</cp:coreProperties>
</file>